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843" activeTab="0"/>
  </bookViews>
  <sheets>
    <sheet name="Absatzplanung (gesamt)" sheetId="1" r:id="rId1"/>
    <sheet name="Anlagenspiegel &amp; Raumzuteilung" sheetId="2" r:id="rId2"/>
    <sheet name="Administrative Kostenstellen" sheetId="3" r:id="rId3"/>
    <sheet name="KS 100 U&amp;R" sheetId="4" r:id="rId4"/>
    <sheet name="KS 240 Radiologie" sheetId="5" r:id="rId5"/>
    <sheet name="KS 450 Chirurgie" sheetId="6" r:id="rId6"/>
    <sheet name="KS 451 Orthopädie" sheetId="7" r:id="rId7"/>
    <sheet name="Kostenartenrechnung" sheetId="8" r:id="rId8"/>
    <sheet name="Kostenträgerrechnung" sheetId="9" r:id="rId9"/>
    <sheet name="Plan-FER (gesamt)" sheetId="10" r:id="rId10"/>
    <sheet name="Plan-FER (n. Versicherungsart)" sheetId="11" r:id="rId11"/>
    <sheet name="Kalkulation" sheetId="12" r:id="rId12"/>
    <sheet name="Produkt- &amp; Fertigungstabelle" sheetId="13" r:id="rId13"/>
    <sheet name="Soll-Ist-Vergleich KS 451 Feb." sheetId="14" r:id="rId14"/>
    <sheet name="Abw.résumé" sheetId="15" r:id="rId15"/>
  </sheets>
  <definedNames>
    <definedName name="Absatzmenge" localSheetId="9">'Plan-FER (gesamt)'!#REF!</definedName>
    <definedName name="Absatzmenge">#REF!</definedName>
    <definedName name="BG" localSheetId="5">'KS 450 Chirurgie'!#REF!</definedName>
    <definedName name="BG" localSheetId="6">'KS 451 Orthopädie'!#REF!</definedName>
    <definedName name="BG">#REF!</definedName>
    <definedName name="Bruttoumsatz" localSheetId="0">'Absatzplanung (gesamt)'!#REF!</definedName>
    <definedName name="Bruttoumsatz" localSheetId="9">'Plan-FER (gesamt)'!#REF!</definedName>
    <definedName name="Bruttoumsatz">#REF!</definedName>
    <definedName name="DATABASE">'Produkt- &amp; Fertigungstabelle'!$A$3:$E$9</definedName>
    <definedName name="Deckungsbeitrag_I" localSheetId="0">'Absatzplanung (gesamt)'!#REF!</definedName>
    <definedName name="Deckungsbeitrag_I" localSheetId="9">'Plan-FER (gesamt)'!$A$12:$J$12</definedName>
    <definedName name="Deckungsbeitrag_I">#REF!</definedName>
    <definedName name="Deckungsbeitrag_II" localSheetId="0">'Absatzplanung (gesamt)'!#REF!</definedName>
    <definedName name="Deckungsbeitrag_II" localSheetId="9">'Plan-FER (gesamt)'!$A$21:$J$21</definedName>
    <definedName name="Deckungsbeitrag_II">#REF!</definedName>
    <definedName name="Deckungsbeitrag_III" localSheetId="0">'Absatzplanung (gesamt)'!#REF!</definedName>
    <definedName name="Deckungsbeitrag_III" localSheetId="9">'Plan-FER (gesamt)'!$A$26:$J$26</definedName>
    <definedName name="Deckungsbeitrag_III">#REF!</definedName>
    <definedName name="_xlnm.Print_Area" localSheetId="11">'Kalkulation'!$A$3:$G$42</definedName>
    <definedName name="_xlnm.Print_Area" localSheetId="7">'Kostenartenrechnung'!$A$1:$F$22</definedName>
    <definedName name="_xlnm.Print_Area" localSheetId="10">'Plan-FER (n. Versicherungsart)'!$A$1:$J$52</definedName>
    <definedName name="Erlösschmälerung" localSheetId="0">'Absatzplanung (gesamt)'!#REF!</definedName>
    <definedName name="Erlösschmälerung" localSheetId="9">'Plan-FER (gesamt)'!#REF!</definedName>
    <definedName name="Erlösschmälerung">#REF!</definedName>
    <definedName name="Fixkosten_der_Produktion" localSheetId="8">'KS 451 Orthopädie'!#REF!</definedName>
    <definedName name="Fixkosten_der_Produktion" localSheetId="9">'KS 451 Orthopädie'!#REF!</definedName>
    <definedName name="Fixkosten_der_Produktion">#REF!</definedName>
    <definedName name="FixkostenAdministration">#REF!</definedName>
    <definedName name="FixkostenVerkauf">#REF!</definedName>
    <definedName name="Grenzkosten_Summe" localSheetId="0">'Absatzplanung (gesamt)'!#REF!</definedName>
    <definedName name="Grenzkosten_Summe" localSheetId="9">'Plan-FER (gesamt)'!$A$10:$J$10</definedName>
    <definedName name="Grenzkosten_Summe">#REF!</definedName>
    <definedName name="Nettoerlöse" localSheetId="0">'Absatzplanung (gesamt)'!$A$16:$J$16</definedName>
    <definedName name="Nettoerlöse" localSheetId="9">'Plan-FER (gesamt)'!$A$8:$J$8</definedName>
    <definedName name="Nettoerlöse">#REF!</definedName>
    <definedName name="normalkapazität" localSheetId="5">'KS 450 Chirurgie'!#REF!</definedName>
    <definedName name="normalkapazität" localSheetId="6">'KS 451 Orthopädie'!#REF!</definedName>
    <definedName name="normalkapazität">#REF!</definedName>
    <definedName name="planbeschäftigung" localSheetId="3">'KS 100 U&amp;R'!$D$12</definedName>
    <definedName name="planbeschäftigung" localSheetId="5">'KS 450 Chirurgie'!$D$4</definedName>
    <definedName name="planbeschäftigung" localSheetId="6">'KS 451 Orthopädie'!$D$18</definedName>
    <definedName name="planbeschäftigung">#REF!</definedName>
    <definedName name="ROIZIEL" localSheetId="8">'Anlagenspiegel &amp; Raumzuteilung'!#REF!</definedName>
    <definedName name="ROIZIEL" localSheetId="9">'Anlagenspiegel &amp; Raumzuteilung'!#REF!</definedName>
    <definedName name="ROIZIEL">#REF!</definedName>
    <definedName name="sql_statement" localSheetId="12" hidden="1">#REF!</definedName>
    <definedName name="Standardergebnis" localSheetId="0">'Absatzplanung (gesamt)'!#REF!</definedName>
    <definedName name="Standardergebnis" localSheetId="9">'Plan-FER (gesamt)'!$A$34:$J$34</definedName>
    <definedName name="Standardergebnis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<sst xmlns="http://schemas.openxmlformats.org/spreadsheetml/2006/main" count="512" uniqueCount="224">
  <si>
    <t>Spital AG</t>
  </si>
  <si>
    <t xml:space="preserve"> </t>
  </si>
  <si>
    <t>L E I S T U N G S -   &amp;   E R L Ö S P L A N U N G</t>
  </si>
  <si>
    <t>Gesamt-</t>
  </si>
  <si>
    <t>CHIRURGIE</t>
  </si>
  <si>
    <t>ORTHOPÄDIE</t>
  </si>
  <si>
    <t xml:space="preserve">Total </t>
  </si>
  <si>
    <t>Total</t>
  </si>
  <si>
    <t xml:space="preserve">  - Allgemein</t>
  </si>
  <si>
    <t xml:space="preserve">  - Halbprivat</t>
  </si>
  <si>
    <t xml:space="preserve">  - Privat</t>
  </si>
  <si>
    <t>Absatzmenge</t>
  </si>
  <si>
    <t>Durchschnittserlös gerundet</t>
  </si>
  <si>
    <t>Nettoerlöse</t>
  </si>
  <si>
    <t>Durchschnittliche Aufenthaltsdauer</t>
  </si>
  <si>
    <t>Aufenthaltstage</t>
  </si>
  <si>
    <t>Medizinischer Aufwand</t>
  </si>
  <si>
    <t>Durchschnittliche Radiologiestunden</t>
  </si>
  <si>
    <t>Radiologiestunden</t>
  </si>
  <si>
    <t>Radiologiekosten volle</t>
  </si>
  <si>
    <t>Radiologiekosten prop.</t>
  </si>
  <si>
    <t>Abteilungskosten volle</t>
  </si>
  <si>
    <t>Abteilungskosten prop.</t>
  </si>
  <si>
    <t>Anlagenspiegel</t>
  </si>
  <si>
    <t>ROI-Ziel</t>
  </si>
  <si>
    <t>Raumkosten</t>
  </si>
  <si>
    <t>(gemäss Gewinnbedarfsbudget)</t>
  </si>
  <si>
    <t>pro Quadratmeter</t>
  </si>
  <si>
    <t>Vermögen</t>
  </si>
  <si>
    <t>ROI-Kosten</t>
  </si>
  <si>
    <t>Kalk. Ab- schreibung</t>
  </si>
  <si>
    <t>qm Raum- bedarf</t>
  </si>
  <si>
    <t>Gebäude</t>
  </si>
  <si>
    <t>Verwaltung/Direktion</t>
  </si>
  <si>
    <t>Einkauf/Lager</t>
  </si>
  <si>
    <t>Unterhalt &amp; Reparatur</t>
  </si>
  <si>
    <t>Radiologie</t>
  </si>
  <si>
    <t>Orthopädie</t>
  </si>
  <si>
    <t>Chirurgie</t>
  </si>
  <si>
    <t>Ziel-Cash-flow</t>
  </si>
  <si>
    <t>Gewinnbedarf</t>
  </si>
  <si>
    <t>Gewinn nach Steuern</t>
  </si>
  <si>
    <t>Steuern</t>
  </si>
  <si>
    <t>Gewinn vor Steuern</t>
  </si>
  <si>
    <t>Fremdkapitalzinsen</t>
  </si>
  <si>
    <t>Bankkontokorrent</t>
  </si>
  <si>
    <t>Langfristiges Darlehen</t>
  </si>
  <si>
    <t>Zuwendungen</t>
  </si>
  <si>
    <t>Total GEWINNBEDARF</t>
  </si>
  <si>
    <t>--&gt; ROI-Ziel in %:</t>
  </si>
  <si>
    <t>Kostenstellenplan</t>
  </si>
  <si>
    <t>Administrative Kostenstellen</t>
  </si>
  <si>
    <t>Nr.</t>
  </si>
  <si>
    <t>Kostenart</t>
  </si>
  <si>
    <t>Anzahl Mitarbeiter</t>
  </si>
  <si>
    <t>Direktion</t>
  </si>
  <si>
    <t>Einkauf &amp;</t>
  </si>
  <si>
    <t>Verwaltung</t>
  </si>
  <si>
    <t>Lager</t>
  </si>
  <si>
    <t xml:space="preserve">Gehälter </t>
  </si>
  <si>
    <t>Kalk. Sozialleistungen</t>
  </si>
  <si>
    <t>Büro- und Verwaltungskosten</t>
  </si>
  <si>
    <t>Hilfs-/Kleinmaterial</t>
  </si>
  <si>
    <t>Telefon, Kommunikation</t>
  </si>
  <si>
    <t>Putzmittel, Konservierung</t>
  </si>
  <si>
    <t>Heizoel</t>
  </si>
  <si>
    <t>Elektrizität</t>
  </si>
  <si>
    <t xml:space="preserve">Fremdunterhalt </t>
  </si>
  <si>
    <t>Uebrige Gemeinkosten</t>
  </si>
  <si>
    <t>IBL Unterhalt &amp; Reparatur prop.</t>
  </si>
  <si>
    <t>Beeinflussbare Kosten</t>
  </si>
  <si>
    <t>Kalk. Abschreibungen</t>
  </si>
  <si>
    <t>Umlage Raumkosten</t>
  </si>
  <si>
    <t>IBL Unterhalt &amp; Reparatur fix</t>
  </si>
  <si>
    <t>Totalkosten</t>
  </si>
  <si>
    <t>100 Unterhalt &amp; Reparatur</t>
  </si>
  <si>
    <t>Leistungsbezug von Kostenstelle</t>
  </si>
  <si>
    <t>Planbeschäftigung:</t>
  </si>
  <si>
    <t>Mitarbeiterstunden</t>
  </si>
  <si>
    <t>Normalkapazität</t>
  </si>
  <si>
    <t>Auslastungsgrad</t>
  </si>
  <si>
    <t>Prop</t>
  </si>
  <si>
    <t>Fix</t>
  </si>
  <si>
    <t>Fremdunterhalt</t>
  </si>
  <si>
    <t>Kostensätze</t>
  </si>
  <si>
    <t>240 Radiologie</t>
  </si>
  <si>
    <t>Auslastungsgrad/Bettenbelegung</t>
  </si>
  <si>
    <t>450 Chirurgie</t>
  </si>
  <si>
    <t>Eckwerte der Planung</t>
  </si>
  <si>
    <t>Durchschnittl. Aufenthaltsdauer in Tagen</t>
  </si>
  <si>
    <t>Anzahl Betten</t>
  </si>
  <si>
    <t>451 Orthopädie</t>
  </si>
  <si>
    <t>Kostenartenübersicht</t>
  </si>
  <si>
    <t>Kostenträger</t>
  </si>
  <si>
    <t>Produktive Kostenstellen</t>
  </si>
  <si>
    <t>Administr. Kostenstellen</t>
  </si>
  <si>
    <t>Gehälter &amp; Löhne</t>
  </si>
  <si>
    <t>Büromaterial</t>
  </si>
  <si>
    <t>Putzmaterial</t>
  </si>
  <si>
    <t>Heizöl</t>
  </si>
  <si>
    <t>Totalkosten vor Umlagen</t>
  </si>
  <si>
    <t>P L A N  -  K O S T E N T R Ä G E R R E C H N U N G     (zu Vollkosten)</t>
  </si>
  <si>
    <t>Kostenträgerrechnung</t>
  </si>
  <si>
    <t>Materialgemeinkosten</t>
  </si>
  <si>
    <t>Materialkosten</t>
  </si>
  <si>
    <t>Volle Fertigungskosten</t>
  </si>
  <si>
    <t>Herstellkosten</t>
  </si>
  <si>
    <t>Verwaltungs- und Vertriebsgemeink.</t>
  </si>
  <si>
    <t>Selbstkosten</t>
  </si>
  <si>
    <t>Geplante Erlöse</t>
  </si>
  <si>
    <t>Geplanter Gewinn</t>
  </si>
  <si>
    <t>P L A N  -  E R F O L G S R E C H N U N G</t>
  </si>
  <si>
    <t>Durchschnittserlös</t>
  </si>
  <si>
    <t>Prop. Kosten je Einheit</t>
  </si>
  <si>
    <t>Prop. Kosten-Volumen</t>
  </si>
  <si>
    <t>Deckungsbeitrag I</t>
  </si>
  <si>
    <t>Beeinflussbare Bereichsfixkosten</t>
  </si>
  <si>
    <t xml:space="preserve">  - Chirurgie</t>
  </si>
  <si>
    <t xml:space="preserve">  - Orthopädie</t>
  </si>
  <si>
    <t>Deckungsbeitrag II</t>
  </si>
  <si>
    <t>Beeinflussbare Fixkosten allg. produktive Bereiche</t>
  </si>
  <si>
    <t xml:space="preserve">  - Radiologie</t>
  </si>
  <si>
    <t>Deckungsbeitrag III</t>
  </si>
  <si>
    <t>Beeinflussbare Fixkosten Zentralbereiche</t>
  </si>
  <si>
    <t xml:space="preserve">  - Unterhalt &amp; Reparatur</t>
  </si>
  <si>
    <t xml:space="preserve">  - Gebäude</t>
  </si>
  <si>
    <t xml:space="preserve">  - Einkauf &amp; Lager</t>
  </si>
  <si>
    <t xml:space="preserve">  - Direktion/Verwaltung</t>
  </si>
  <si>
    <t>Deckungsbeitrag IV</t>
  </si>
  <si>
    <t xml:space="preserve">Ziel-Cash-Flow </t>
  </si>
  <si>
    <t xml:space="preserve"> - Kalk. Abschreibungen (geplant)</t>
  </si>
  <si>
    <t xml:space="preserve"> - ROI - Ziel (geplant)</t>
  </si>
  <si>
    <t>Standardergebnis</t>
  </si>
  <si>
    <t>Das Standardergebnis entspricht im Plan dem Management-Erfolg</t>
  </si>
  <si>
    <t>Kennzahlen:</t>
  </si>
  <si>
    <t>DBU vom Nettoerlös</t>
  </si>
  <si>
    <t>total</t>
  </si>
  <si>
    <t>Kostenstellen-Soll-Ist-Vergleich</t>
  </si>
  <si>
    <t>Monat Februar</t>
  </si>
  <si>
    <t>Normalkapazität (gemäss Planung):</t>
  </si>
  <si>
    <t>Sollbeschäftigung (gemäss Zeitvorgaben):</t>
  </si>
  <si>
    <t>Istbeschäftigung (effektiv):</t>
  </si>
  <si>
    <t>Beschäftigungsgrad</t>
  </si>
  <si>
    <t>Istauslastung der Normalkapazität:</t>
  </si>
  <si>
    <t>Sollkosten</t>
  </si>
  <si>
    <t>Istkosten</t>
  </si>
  <si>
    <t>Verbrauchs-</t>
  </si>
  <si>
    <t>VA in %</t>
  </si>
  <si>
    <t>abweichung</t>
  </si>
  <si>
    <t>Kalk. Raumkosten</t>
  </si>
  <si>
    <t>Monate Januar-Februar</t>
  </si>
  <si>
    <t>Abweichungsrésumé</t>
  </si>
  <si>
    <t>Einkauf /</t>
  </si>
  <si>
    <t>Unterhalt &amp;</t>
  </si>
  <si>
    <t>Reparatur</t>
  </si>
  <si>
    <t>Verbrauchsabweichung</t>
  </si>
  <si>
    <t>Materialmengenabweichung</t>
  </si>
  <si>
    <t>Einkaufspreisabweichung</t>
  </si>
  <si>
    <t>Managementerfolg</t>
  </si>
  <si>
    <t>Abweichungstotal</t>
  </si>
  <si>
    <t>Kosten</t>
  </si>
  <si>
    <t>Medizinischer Bedarf</t>
  </si>
  <si>
    <t>Materialnr.</t>
  </si>
  <si>
    <t>Bezeichnung</t>
  </si>
  <si>
    <t>Mengeneinheit</t>
  </si>
  <si>
    <t>Standardpreis</t>
  </si>
  <si>
    <t>Vorgabemenge</t>
  </si>
  <si>
    <t>Total Medizinischer Bedarf</t>
  </si>
  <si>
    <t>Kostenstellennr.</t>
  </si>
  <si>
    <t>Bezugsgrösse</t>
  </si>
  <si>
    <t>Kostensatz</t>
  </si>
  <si>
    <t>Vorgabezeit</t>
  </si>
  <si>
    <t>Total Abteilungkosten prop.</t>
  </si>
  <si>
    <t>Prop. Herstellkosten</t>
  </si>
  <si>
    <t>Abteilungskosten fix</t>
  </si>
  <si>
    <t>Total Abteilungkosten fix</t>
  </si>
  <si>
    <t>fixe Herstellkosten</t>
  </si>
  <si>
    <t>Volle Herstellkosten</t>
  </si>
  <si>
    <t>Produktetabelle</t>
  </si>
  <si>
    <t>Nr</t>
  </si>
  <si>
    <t>ME</t>
  </si>
  <si>
    <t>Standard-Material-verbrauch</t>
  </si>
  <si>
    <t>Vorgaben Radiologie</t>
  </si>
  <si>
    <t>Eingriffe Bauch/ Hernien</t>
  </si>
  <si>
    <t>Eingriffe Harn-/Geschlechts-organe</t>
  </si>
  <si>
    <t>Eingriffe Haut/Sehnen/Nerven/ Gefässe</t>
  </si>
  <si>
    <t>Eingriffe Knochen/ Gelenke</t>
  </si>
  <si>
    <t>Eingriffe Brust/Wirbel-säule</t>
  </si>
  <si>
    <t>Eingriffe Kopf/Hals</t>
  </si>
  <si>
    <t>Gewinn</t>
  </si>
  <si>
    <t>Fertigungstabelle</t>
  </si>
  <si>
    <t>Propor-tionaler Kostensatz</t>
  </si>
  <si>
    <t>Fixer Kostensatz</t>
  </si>
  <si>
    <t>m2</t>
  </si>
  <si>
    <t>in % Herstellkosten</t>
  </si>
  <si>
    <t>in % Medizinischer Aufwand</t>
  </si>
  <si>
    <t xml:space="preserve">             (gesamte Spital AG für Planjahr 2012)</t>
  </si>
  <si>
    <t>Spital 2012 AG</t>
  </si>
  <si>
    <t>Investitionen neu nach KVG 2012</t>
  </si>
  <si>
    <t>Investitionsbedarf (in % des Vermögens)</t>
  </si>
  <si>
    <t>vom Gewinn nach Steuern</t>
  </si>
  <si>
    <t>Vorgaben Abteilung (DAD)</t>
  </si>
  <si>
    <t>DAD = Durchschnittliche Aufenthaltsdauer</t>
  </si>
  <si>
    <t>Abteilung (KST.NR.)</t>
  </si>
  <si>
    <t>Eigenkapital</t>
  </si>
  <si>
    <t>Reserven</t>
  </si>
  <si>
    <t>Deckungsgrad Reserven</t>
  </si>
  <si>
    <t>Geplanter Betriebsaufwand</t>
  </si>
  <si>
    <t>Fallerfolg</t>
  </si>
  <si>
    <t>Verwaltungs- und Sonstigekosten</t>
  </si>
  <si>
    <t>Standard-Falltarife Schnitt</t>
  </si>
  <si>
    <t>Standard-Falltarife Allgemein</t>
  </si>
  <si>
    <t>Standard-Falltarife Halbprivat</t>
  </si>
  <si>
    <t>Standard-Falltarife Privat</t>
  </si>
  <si>
    <t>DB I / Fall</t>
  </si>
  <si>
    <t>Selbstkosten pro Fall</t>
  </si>
  <si>
    <t>Geplante Verkaufspreise netto pro Fall</t>
  </si>
  <si>
    <t>Gewinn pro Fall</t>
  </si>
  <si>
    <t>Leistungsmenge</t>
  </si>
  <si>
    <t>% Anteil</t>
  </si>
  <si>
    <t xml:space="preserve">             Fälle Allgemeine Abteilung</t>
  </si>
  <si>
    <t xml:space="preserve">             Fälle Privat Abteilung</t>
  </si>
  <si>
    <t xml:space="preserve">             Fälle Halbprivat Abteilung</t>
  </si>
  <si>
    <t>Prop. Kosten je Fall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</si>
</sst>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[Red]&quot;Fr.&quot;\ \-#,##0"/>
    <numFmt numFmtId="171" formatCode="&quot;Fr.&quot;\ #,##0.00;[Red]&quot;Fr.&quot;\ \-#,##0.00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#,##0\ &quot;SFr.&quot;;[Red]\-#,##0\ &quot;SFr.&quot;"/>
    <numFmt numFmtId="175" formatCode="#,##0.00\ &quot;SFr.&quot;;[Red]\-#,##0.00\ &quot;SFr.&quot;"/>
    <numFmt numFmtId="176" formatCode="#,##0\ &quot;DM&quot;;[Red]\-#,##0\ &quot;DM&quot;"/>
    <numFmt numFmtId="177" formatCode="#,##0.00\ &quot;DM&quot;;[Red]\-#,##0.00\ &quot;DM&quot;"/>
    <numFmt numFmtId="178" formatCode="&quot;Fr.&quot;\ #,##0;\-&quot;Fr.&quot;\ #,##0"/>
    <numFmt numFmtId="179" formatCode="&quot;Fr.&quot;\ #,##0.00;[Red]\-&quot;Fr.&quot;\ #,##0.00"/>
    <numFmt numFmtId="180" formatCode="#,##0.0"/>
    <numFmt numFmtId="181" formatCode="0.0%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sz val="10"/>
      <name val="SyntaxT"/>
      <family val="0"/>
    </font>
    <font>
      <b/>
      <sz val="10"/>
      <name val="SyntaxT"/>
      <family val="0"/>
    </font>
    <font>
      <b/>
      <sz val="12"/>
      <name val="SyntaxT"/>
      <family val="0"/>
    </font>
    <font>
      <b/>
      <sz val="9"/>
      <name val="SyntaxT"/>
      <family val="0"/>
    </font>
    <font>
      <b/>
      <sz val="16"/>
      <name val="SyntaxT"/>
      <family val="0"/>
    </font>
    <font>
      <b/>
      <sz val="14"/>
      <name val="SyntaxT"/>
      <family val="0"/>
    </font>
    <font>
      <sz val="10"/>
      <color indexed="18"/>
      <name val="SyntaxT"/>
      <family val="0"/>
    </font>
    <font>
      <b/>
      <sz val="10"/>
      <color indexed="18"/>
      <name val="SyntaxT"/>
      <family val="0"/>
    </font>
    <font>
      <b/>
      <sz val="14"/>
      <color indexed="18"/>
      <name val="SyntaxT"/>
      <family val="0"/>
    </font>
    <font>
      <b/>
      <sz val="12"/>
      <color indexed="18"/>
      <name val="SyntaxT"/>
      <family val="0"/>
    </font>
    <font>
      <sz val="10"/>
      <color indexed="8"/>
      <name val="SyntaxT"/>
      <family val="0"/>
    </font>
    <font>
      <b/>
      <sz val="12"/>
      <color indexed="8"/>
      <name val="SyntaxT"/>
      <family val="0"/>
    </font>
    <font>
      <b/>
      <sz val="10"/>
      <color indexed="8"/>
      <name val="SyntaxT"/>
      <family val="0"/>
    </font>
    <font>
      <sz val="10"/>
      <color indexed="1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9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/>
      <protection locked="0"/>
    </xf>
    <xf numFmtId="10" fontId="5" fillId="0" borderId="0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/>
    </xf>
    <xf numFmtId="0" fontId="5" fillId="0" borderId="0" xfId="55" applyFont="1">
      <alignment/>
      <protection/>
    </xf>
    <xf numFmtId="3" fontId="5" fillId="0" borderId="0" xfId="58" applyNumberFormat="1" applyFont="1" applyProtection="1">
      <alignment/>
      <protection locked="0"/>
    </xf>
    <xf numFmtId="3" fontId="7" fillId="0" borderId="0" xfId="58" applyNumberFormat="1" applyFont="1" applyProtection="1">
      <alignment/>
      <protection locked="0"/>
    </xf>
    <xf numFmtId="3" fontId="6" fillId="1" borderId="20" xfId="58" applyNumberFormat="1" applyFont="1" applyFill="1" applyBorder="1" applyAlignment="1" applyProtection="1">
      <alignment horizontal="center"/>
      <protection locked="0"/>
    </xf>
    <xf numFmtId="3" fontId="6" fillId="1" borderId="20" xfId="58" applyNumberFormat="1" applyFont="1" applyFill="1" applyBorder="1" applyProtection="1">
      <alignment/>
      <protection locked="0"/>
    </xf>
    <xf numFmtId="3" fontId="6" fillId="0" borderId="0" xfId="58" applyNumberFormat="1" applyFont="1" applyBorder="1" applyProtection="1">
      <alignment/>
      <protection locked="0"/>
    </xf>
    <xf numFmtId="3" fontId="6" fillId="0" borderId="17" xfId="58" applyNumberFormat="1" applyFont="1" applyBorder="1" applyProtection="1">
      <alignment/>
      <protection locked="0"/>
    </xf>
    <xf numFmtId="3" fontId="6" fillId="0" borderId="17" xfId="58" applyNumberFormat="1" applyFont="1" applyBorder="1" applyAlignment="1" applyProtection="1">
      <alignment horizontal="center"/>
      <protection locked="0"/>
    </xf>
    <xf numFmtId="3" fontId="6" fillId="0" borderId="0" xfId="58" applyNumberFormat="1" applyFont="1" applyProtection="1">
      <alignment/>
      <protection locked="0"/>
    </xf>
    <xf numFmtId="4" fontId="5" fillId="0" borderId="0" xfId="58" applyNumberFormat="1" applyFont="1" applyProtection="1">
      <alignment/>
      <protection locked="0"/>
    </xf>
    <xf numFmtId="3" fontId="5" fillId="0" borderId="17" xfId="58" applyNumberFormat="1" applyFont="1" applyBorder="1" applyProtection="1">
      <alignment/>
      <protection locked="0"/>
    </xf>
    <xf numFmtId="3" fontId="5" fillId="0" borderId="0" xfId="58" applyNumberFormat="1" applyFont="1" applyBorder="1" applyProtection="1">
      <alignment/>
      <protection locked="0"/>
    </xf>
    <xf numFmtId="0" fontId="5" fillId="0" borderId="19" xfId="54" applyFont="1" applyBorder="1" applyProtection="1">
      <alignment/>
      <protection/>
    </xf>
    <xf numFmtId="0" fontId="5" fillId="0" borderId="21" xfId="54" applyFont="1" applyBorder="1" applyProtection="1">
      <alignment/>
      <protection/>
    </xf>
    <xf numFmtId="0" fontId="5" fillId="0" borderId="0" xfId="54" applyFont="1" applyProtection="1">
      <alignment/>
      <protection/>
    </xf>
    <xf numFmtId="0" fontId="5" fillId="0" borderId="0" xfId="54" applyFont="1">
      <alignment/>
      <protection/>
    </xf>
    <xf numFmtId="0" fontId="5" fillId="0" borderId="22" xfId="54" applyFont="1" applyBorder="1" applyProtection="1">
      <alignment/>
      <protection/>
    </xf>
    <xf numFmtId="0" fontId="5" fillId="0" borderId="23" xfId="54" applyFont="1" applyBorder="1" applyAlignment="1" applyProtection="1">
      <alignment horizontal="center"/>
      <protection/>
    </xf>
    <xf numFmtId="0" fontId="5" fillId="0" borderId="24" xfId="54" applyFont="1" applyBorder="1" applyAlignment="1">
      <alignment horizontal="center"/>
      <protection/>
    </xf>
    <xf numFmtId="0" fontId="5" fillId="0" borderId="24" xfId="54" applyFont="1" applyBorder="1" applyAlignment="1" applyProtection="1">
      <alignment horizontal="center"/>
      <protection/>
    </xf>
    <xf numFmtId="0" fontId="5" fillId="0" borderId="25" xfId="54" applyFont="1" applyBorder="1" applyProtection="1">
      <alignment/>
      <protection/>
    </xf>
    <xf numFmtId="0" fontId="5" fillId="0" borderId="0" xfId="54" applyFont="1" applyBorder="1" applyAlignment="1" applyProtection="1">
      <alignment horizontal="center"/>
      <protection/>
    </xf>
    <xf numFmtId="0" fontId="5" fillId="0" borderId="26" xfId="54" applyFont="1" applyBorder="1" applyAlignment="1">
      <alignment horizontal="center"/>
      <protection/>
    </xf>
    <xf numFmtId="0" fontId="5" fillId="0" borderId="27" xfId="54" applyFont="1" applyBorder="1" applyAlignment="1" applyProtection="1">
      <alignment horizontal="center"/>
      <protection/>
    </xf>
    <xf numFmtId="0" fontId="5" fillId="0" borderId="26" xfId="54" applyFont="1" applyBorder="1" applyAlignment="1" applyProtection="1">
      <alignment horizontal="center"/>
      <protection/>
    </xf>
    <xf numFmtId="0" fontId="5" fillId="0" borderId="28" xfId="54" applyFont="1" applyBorder="1" applyProtection="1">
      <alignment/>
      <protection/>
    </xf>
    <xf numFmtId="0" fontId="5" fillId="0" borderId="29" xfId="54" applyFont="1" applyBorder="1" applyProtection="1">
      <alignment/>
      <protection/>
    </xf>
    <xf numFmtId="0" fontId="5" fillId="0" borderId="30" xfId="54" applyFont="1" applyBorder="1" applyProtection="1">
      <alignment/>
      <protection/>
    </xf>
    <xf numFmtId="0" fontId="5" fillId="0" borderId="29" xfId="54" applyFont="1" applyBorder="1" applyAlignment="1">
      <alignment horizontal="center"/>
      <protection/>
    </xf>
    <xf numFmtId="0" fontId="5" fillId="0" borderId="29" xfId="54" applyFont="1" applyBorder="1" applyAlignment="1" applyProtection="1">
      <alignment horizontal="center"/>
      <protection/>
    </xf>
    <xf numFmtId="0" fontId="5" fillId="0" borderId="13" xfId="54" applyFont="1" applyBorder="1" applyProtection="1">
      <alignment/>
      <protection/>
    </xf>
    <xf numFmtId="3" fontId="5" fillId="0" borderId="26" xfId="54" applyNumberFormat="1" applyFont="1" applyBorder="1" applyProtection="1">
      <alignment/>
      <protection/>
    </xf>
    <xf numFmtId="3" fontId="5" fillId="0" borderId="26" xfId="54" applyNumberFormat="1" applyFont="1" applyBorder="1" applyProtection="1">
      <alignment/>
      <protection locked="0"/>
    </xf>
    <xf numFmtId="3" fontId="5" fillId="0" borderId="28" xfId="54" applyNumberFormat="1" applyFont="1" applyBorder="1" applyProtection="1">
      <alignment/>
      <protection locked="0"/>
    </xf>
    <xf numFmtId="0" fontId="5" fillId="0" borderId="31" xfId="54" applyFont="1" applyBorder="1" applyProtection="1">
      <alignment/>
      <protection/>
    </xf>
    <xf numFmtId="0" fontId="6" fillId="0" borderId="18" xfId="54" applyFont="1" applyBorder="1" applyProtection="1">
      <alignment/>
      <protection/>
    </xf>
    <xf numFmtId="0" fontId="6" fillId="0" borderId="18" xfId="56" applyFont="1" applyBorder="1" applyProtection="1">
      <alignment/>
      <protection/>
    </xf>
    <xf numFmtId="0" fontId="5" fillId="0" borderId="19" xfId="56" applyFont="1" applyBorder="1" applyProtection="1">
      <alignment/>
      <protection/>
    </xf>
    <xf numFmtId="0" fontId="5" fillId="0" borderId="21" xfId="56" applyFont="1" applyBorder="1" applyProtection="1">
      <alignment/>
      <protection/>
    </xf>
    <xf numFmtId="0" fontId="5" fillId="0" borderId="0" xfId="56" applyFont="1">
      <alignment/>
      <protection/>
    </xf>
    <xf numFmtId="0" fontId="5" fillId="0" borderId="0" xfId="56" applyFont="1" applyProtection="1">
      <alignment/>
      <protection/>
    </xf>
    <xf numFmtId="0" fontId="5" fillId="0" borderId="32" xfId="56" applyFont="1" applyBorder="1" applyProtection="1">
      <alignment/>
      <protection/>
    </xf>
    <xf numFmtId="0" fontId="5" fillId="0" borderId="32" xfId="56" applyFont="1" applyBorder="1" applyAlignment="1" applyProtection="1">
      <alignment horizontal="right"/>
      <protection/>
    </xf>
    <xf numFmtId="0" fontId="5" fillId="0" borderId="33" xfId="56" applyFont="1" applyBorder="1" applyAlignment="1" applyProtection="1">
      <alignment horizontal="right"/>
      <protection/>
    </xf>
    <xf numFmtId="0" fontId="5" fillId="0" borderId="11" xfId="56" applyFont="1" applyBorder="1" applyProtection="1">
      <alignment/>
      <protection/>
    </xf>
    <xf numFmtId="3" fontId="5" fillId="0" borderId="0" xfId="56" applyNumberFormat="1" applyFont="1" applyBorder="1" applyProtection="1">
      <alignment/>
      <protection/>
    </xf>
    <xf numFmtId="0" fontId="5" fillId="0" borderId="28" xfId="56" applyFont="1" applyBorder="1" applyProtection="1">
      <alignment/>
      <protection/>
    </xf>
    <xf numFmtId="9" fontId="5" fillId="0" borderId="0" xfId="56" applyNumberFormat="1" applyFont="1">
      <alignment/>
      <protection/>
    </xf>
    <xf numFmtId="0" fontId="5" fillId="0" borderId="34" xfId="56" applyFont="1" applyBorder="1" applyProtection="1">
      <alignment/>
      <protection/>
    </xf>
    <xf numFmtId="0" fontId="5" fillId="0" borderId="35" xfId="56" applyFont="1" applyBorder="1" applyProtection="1">
      <alignment/>
      <protection/>
    </xf>
    <xf numFmtId="0" fontId="5" fillId="0" borderId="36" xfId="56" applyFont="1" applyBorder="1" applyProtection="1">
      <alignment/>
      <protection/>
    </xf>
    <xf numFmtId="0" fontId="5" fillId="0" borderId="0" xfId="56" applyFont="1" applyBorder="1" applyProtection="1">
      <alignment/>
      <protection/>
    </xf>
    <xf numFmtId="10" fontId="5" fillId="0" borderId="0" xfId="56" applyNumberFormat="1" applyFont="1" applyBorder="1" applyProtection="1">
      <alignment/>
      <protection/>
    </xf>
    <xf numFmtId="0" fontId="5" fillId="0" borderId="22" xfId="56" applyFont="1" applyBorder="1" applyProtection="1">
      <alignment/>
      <protection/>
    </xf>
    <xf numFmtId="0" fontId="5" fillId="0" borderId="23" xfId="56" applyFont="1" applyBorder="1" applyAlignment="1" applyProtection="1">
      <alignment horizontal="center"/>
      <protection/>
    </xf>
    <xf numFmtId="0" fontId="5" fillId="0" borderId="24" xfId="56" applyFont="1" applyBorder="1" applyAlignment="1" applyProtection="1">
      <alignment horizontal="center"/>
      <protection/>
    </xf>
    <xf numFmtId="0" fontId="5" fillId="0" borderId="29" xfId="56" applyFont="1" applyBorder="1" applyProtection="1">
      <alignment/>
      <protection/>
    </xf>
    <xf numFmtId="0" fontId="5" fillId="0" borderId="30" xfId="56" applyFont="1" applyBorder="1" applyProtection="1">
      <alignment/>
      <protection/>
    </xf>
    <xf numFmtId="0" fontId="5" fillId="0" borderId="13" xfId="56" applyFont="1" applyBorder="1" applyProtection="1">
      <alignment/>
      <protection/>
    </xf>
    <xf numFmtId="3" fontId="5" fillId="0" borderId="26" xfId="56" applyNumberFormat="1" applyFont="1" applyBorder="1" applyProtection="1">
      <alignment/>
      <protection/>
    </xf>
    <xf numFmtId="178" fontId="5" fillId="0" borderId="0" xfId="56" applyNumberFormat="1" applyFont="1">
      <alignment/>
      <protection/>
    </xf>
    <xf numFmtId="0" fontId="6" fillId="0" borderId="19" xfId="56" applyFont="1" applyBorder="1" applyProtection="1">
      <alignment/>
      <protection/>
    </xf>
    <xf numFmtId="178" fontId="5" fillId="0" borderId="0" xfId="56" applyNumberFormat="1" applyFont="1" applyBorder="1" applyProtection="1">
      <alignment/>
      <protection/>
    </xf>
    <xf numFmtId="0" fontId="6" fillId="0" borderId="18" xfId="56" applyFont="1" applyFill="1" applyBorder="1" applyProtection="1">
      <alignment/>
      <protection/>
    </xf>
    <xf numFmtId="0" fontId="6" fillId="0" borderId="19" xfId="56" applyFont="1" applyFill="1" applyBorder="1" applyProtection="1">
      <alignment/>
      <protection/>
    </xf>
    <xf numFmtId="0" fontId="5" fillId="0" borderId="0" xfId="56" applyFont="1" applyFill="1">
      <alignment/>
      <protection/>
    </xf>
    <xf numFmtId="0" fontId="6" fillId="0" borderId="18" xfId="0" applyFont="1" applyBorder="1" applyAlignment="1" applyProtection="1">
      <alignment/>
      <protection/>
    </xf>
    <xf numFmtId="0" fontId="5" fillId="0" borderId="2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 applyProtection="1">
      <alignment/>
      <protection/>
    </xf>
    <xf numFmtId="178" fontId="5" fillId="0" borderId="0" xfId="0" applyNumberFormat="1" applyFont="1" applyAlignment="1">
      <alignment/>
    </xf>
    <xf numFmtId="0" fontId="5" fillId="0" borderId="0" xfId="57" applyFont="1">
      <alignment/>
      <protection/>
    </xf>
    <xf numFmtId="0" fontId="8" fillId="0" borderId="0" xfId="57" applyFont="1" applyProtection="1">
      <alignment/>
      <protection locked="0"/>
    </xf>
    <xf numFmtId="0" fontId="5" fillId="0" borderId="0" xfId="57" applyFont="1" applyProtection="1">
      <alignment/>
      <protection locked="0"/>
    </xf>
    <xf numFmtId="0" fontId="6" fillId="1" borderId="10" xfId="57" applyFont="1" applyFill="1" applyBorder="1" applyAlignment="1">
      <alignment horizontal="center" vertical="center" wrapText="1"/>
      <protection/>
    </xf>
    <xf numFmtId="0" fontId="8" fillId="1" borderId="20" xfId="57" applyFont="1" applyFill="1" applyBorder="1" applyAlignment="1" applyProtection="1">
      <alignment horizontal="center" vertical="center" wrapText="1"/>
      <protection locked="0"/>
    </xf>
    <xf numFmtId="0" fontId="8" fillId="1" borderId="11" xfId="5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Alignment="1">
      <alignment horizontal="center" vertical="center" wrapText="1"/>
      <protection/>
    </xf>
    <xf numFmtId="4" fontId="5" fillId="0" borderId="0" xfId="43" applyFont="1" applyAlignment="1" applyProtection="1">
      <alignment/>
      <protection locked="0"/>
    </xf>
    <xf numFmtId="10" fontId="5" fillId="0" borderId="0" xfId="57" applyNumberFormat="1" applyFont="1">
      <alignment/>
      <protection/>
    </xf>
    <xf numFmtId="0" fontId="6" fillId="0" borderId="0" xfId="0" applyFont="1" applyAlignment="1">
      <alignment/>
    </xf>
    <xf numFmtId="0" fontId="5" fillId="0" borderId="19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9" xfId="0" applyFont="1" applyBorder="1" applyAlignment="1">
      <alignment/>
    </xf>
    <xf numFmtId="3" fontId="5" fillId="0" borderId="27" xfId="0" applyNumberFormat="1" applyFont="1" applyBorder="1" applyAlignment="1" applyProtection="1">
      <alignment/>
      <protection/>
    </xf>
    <xf numFmtId="10" fontId="5" fillId="0" borderId="24" xfId="0" applyNumberFormat="1" applyFont="1" applyBorder="1" applyAlignment="1">
      <alignment/>
    </xf>
    <xf numFmtId="10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6" fillId="0" borderId="19" xfId="0" applyFont="1" applyBorder="1" applyAlignment="1" applyProtection="1">
      <alignment/>
      <protection/>
    </xf>
    <xf numFmtId="10" fontId="6" fillId="0" borderId="37" xfId="0" applyNumberFormat="1" applyFont="1" applyBorder="1" applyAlignment="1" applyProtection="1">
      <alignment/>
      <protection/>
    </xf>
    <xf numFmtId="0" fontId="6" fillId="0" borderId="3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>
      <alignment horizontal="center"/>
    </xf>
    <xf numFmtId="0" fontId="5" fillId="0" borderId="38" xfId="0" applyFont="1" applyBorder="1" applyAlignment="1" applyProtection="1">
      <alignment/>
      <protection/>
    </xf>
    <xf numFmtId="3" fontId="5" fillId="0" borderId="24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56" applyFont="1" applyBorder="1" applyAlignment="1" applyProtection="1">
      <alignment horizontal="right"/>
      <protection/>
    </xf>
    <xf numFmtId="3" fontId="5" fillId="0" borderId="0" xfId="54" applyNumberFormat="1" applyFont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1" fontId="5" fillId="0" borderId="0" xfId="0" applyNumberFormat="1" applyFont="1" applyAlignment="1">
      <alignment/>
    </xf>
    <xf numFmtId="3" fontId="6" fillId="0" borderId="0" xfId="58" applyNumberFormat="1" applyFont="1" applyBorder="1" applyAlignment="1" applyProtection="1">
      <alignment horizontal="center"/>
      <protection locked="0"/>
    </xf>
    <xf numFmtId="3" fontId="6" fillId="0" borderId="17" xfId="58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/>
      <protection/>
    </xf>
    <xf numFmtId="4" fontId="11" fillId="0" borderId="0" xfId="43" applyFont="1" applyAlignment="1" applyProtection="1">
      <alignment/>
      <protection/>
    </xf>
    <xf numFmtId="3" fontId="11" fillId="0" borderId="0" xfId="57" applyNumberFormat="1" applyFont="1" applyProtection="1">
      <alignment/>
      <protection/>
    </xf>
    <xf numFmtId="10" fontId="11" fillId="0" borderId="0" xfId="57" applyNumberFormat="1" applyFont="1" applyProtection="1">
      <alignment/>
      <protection/>
    </xf>
    <xf numFmtId="10" fontId="11" fillId="0" borderId="0" xfId="52" applyNumberFormat="1" applyFont="1" applyAlignment="1" applyProtection="1">
      <alignment/>
      <protection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2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9" fontId="11" fillId="0" borderId="0" xfId="52" applyFont="1" applyAlignment="1">
      <alignment/>
    </xf>
    <xf numFmtId="4" fontId="11" fillId="0" borderId="0" xfId="0" applyNumberFormat="1" applyFont="1" applyAlignment="1">
      <alignment/>
    </xf>
    <xf numFmtId="18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11" fillId="0" borderId="16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5" fillId="0" borderId="4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/>
    </xf>
    <xf numFmtId="10" fontId="11" fillId="0" borderId="0" xfId="0" applyNumberFormat="1" applyFont="1" applyBorder="1" applyAlignment="1" applyProtection="1">
      <alignment/>
      <protection/>
    </xf>
    <xf numFmtId="10" fontId="11" fillId="0" borderId="35" xfId="0" applyNumberFormat="1" applyFont="1" applyBorder="1" applyAlignment="1" applyProtection="1">
      <alignment/>
      <protection/>
    </xf>
    <xf numFmtId="3" fontId="11" fillId="0" borderId="26" xfId="0" applyNumberFormat="1" applyFont="1" applyBorder="1" applyAlignment="1" applyProtection="1">
      <alignment/>
      <protection/>
    </xf>
    <xf numFmtId="3" fontId="12" fillId="0" borderId="18" xfId="0" applyNumberFormat="1" applyFont="1" applyBorder="1" applyAlignment="1" applyProtection="1">
      <alignment/>
      <protection/>
    </xf>
    <xf numFmtId="3" fontId="11" fillId="0" borderId="27" xfId="0" applyNumberFormat="1" applyFont="1" applyBorder="1" applyAlignment="1" applyProtection="1">
      <alignment/>
      <protection/>
    </xf>
    <xf numFmtId="3" fontId="12" fillId="0" borderId="37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3" fontId="5" fillId="0" borderId="27" xfId="0" applyNumberFormat="1" applyFont="1" applyBorder="1" applyAlignment="1" applyProtection="1">
      <alignment/>
      <protection locked="0"/>
    </xf>
    <xf numFmtId="3" fontId="11" fillId="0" borderId="0" xfId="58" applyNumberFormat="1" applyFont="1" applyProtection="1">
      <alignment/>
      <protection locked="0"/>
    </xf>
    <xf numFmtId="4" fontId="11" fillId="0" borderId="0" xfId="58" applyNumberFormat="1" applyFont="1" applyProtection="1">
      <alignment/>
      <protection locked="0"/>
    </xf>
    <xf numFmtId="3" fontId="12" fillId="0" borderId="20" xfId="58" applyNumberFormat="1" applyFont="1" applyBorder="1" applyProtection="1">
      <alignment/>
      <protection locked="0"/>
    </xf>
    <xf numFmtId="3" fontId="12" fillId="0" borderId="0" xfId="58" applyNumberFormat="1" applyFont="1" applyProtection="1">
      <alignment/>
      <protection locked="0"/>
    </xf>
    <xf numFmtId="2" fontId="11" fillId="0" borderId="0" xfId="58" applyNumberFormat="1" applyFont="1" applyProtection="1">
      <alignment/>
      <protection locked="0"/>
    </xf>
    <xf numFmtId="1" fontId="11" fillId="0" borderId="0" xfId="58" applyNumberFormat="1" applyFont="1" applyProtection="1">
      <alignment/>
      <protection locked="0"/>
    </xf>
    <xf numFmtId="3" fontId="11" fillId="0" borderId="0" xfId="58" applyNumberFormat="1" applyFont="1" applyBorder="1" applyProtection="1">
      <alignment/>
      <protection locked="0"/>
    </xf>
    <xf numFmtId="3" fontId="12" fillId="0" borderId="0" xfId="58" applyNumberFormat="1" applyFont="1" applyBorder="1" applyProtection="1">
      <alignment/>
      <protection locked="0"/>
    </xf>
    <xf numFmtId="3" fontId="11" fillId="0" borderId="17" xfId="58" applyNumberFormat="1" applyFont="1" applyBorder="1" applyProtection="1">
      <alignment/>
      <protection locked="0"/>
    </xf>
    <xf numFmtId="2" fontId="12" fillId="0" borderId="0" xfId="58" applyNumberFormat="1" applyFont="1" applyProtection="1">
      <alignment/>
      <protection locked="0"/>
    </xf>
    <xf numFmtId="10" fontId="11" fillId="0" borderId="17" xfId="58" applyNumberFormat="1" applyFont="1" applyBorder="1" applyProtection="1">
      <alignment/>
      <protection locked="0"/>
    </xf>
    <xf numFmtId="3" fontId="14" fillId="0" borderId="0" xfId="58" applyNumberFormat="1" applyFont="1" applyProtection="1">
      <alignment/>
      <protection locked="0"/>
    </xf>
    <xf numFmtId="3" fontId="15" fillId="0" borderId="0" xfId="58" applyNumberFormat="1" applyFont="1" applyProtection="1">
      <alignment/>
      <protection locked="0"/>
    </xf>
    <xf numFmtId="3" fontId="16" fillId="0" borderId="0" xfId="58" applyNumberFormat="1" applyFont="1" applyProtection="1">
      <alignment/>
      <protection locked="0"/>
    </xf>
    <xf numFmtId="3" fontId="17" fillId="1" borderId="10" xfId="58" applyNumberFormat="1" applyFont="1" applyFill="1" applyBorder="1" applyProtection="1">
      <alignment/>
      <protection locked="0"/>
    </xf>
    <xf numFmtId="3" fontId="17" fillId="0" borderId="17" xfId="58" applyNumberFormat="1" applyFont="1" applyBorder="1" applyProtection="1">
      <alignment/>
      <protection locked="0"/>
    </xf>
    <xf numFmtId="3" fontId="17" fillId="0" borderId="20" xfId="58" applyNumberFormat="1" applyFont="1" applyBorder="1" applyProtection="1">
      <alignment/>
      <protection locked="0"/>
    </xf>
    <xf numFmtId="3" fontId="17" fillId="0" borderId="0" xfId="58" applyNumberFormat="1" applyFont="1" applyProtection="1">
      <alignment/>
      <protection locked="0"/>
    </xf>
    <xf numFmtId="3" fontId="15" fillId="0" borderId="0" xfId="58" applyNumberFormat="1" applyFont="1" applyBorder="1" applyProtection="1">
      <alignment/>
      <protection locked="0"/>
    </xf>
    <xf numFmtId="0" fontId="15" fillId="0" borderId="0" xfId="0" applyFont="1" applyAlignment="1">
      <alignment/>
    </xf>
    <xf numFmtId="3" fontId="15" fillId="0" borderId="17" xfId="58" applyNumberFormat="1" applyFont="1" applyBorder="1" applyProtection="1">
      <alignment/>
      <protection locked="0"/>
    </xf>
    <xf numFmtId="3" fontId="17" fillId="1" borderId="20" xfId="58" applyNumberFormat="1" applyFont="1" applyFill="1" applyBorder="1" applyAlignment="1" applyProtection="1">
      <alignment horizontal="center"/>
      <protection locked="0"/>
    </xf>
    <xf numFmtId="3" fontId="17" fillId="1" borderId="20" xfId="58" applyNumberFormat="1" applyFont="1" applyFill="1" applyBorder="1" applyProtection="1">
      <alignment/>
      <protection locked="0"/>
    </xf>
    <xf numFmtId="3" fontId="17" fillId="0" borderId="17" xfId="58" applyNumberFormat="1" applyFont="1" applyBorder="1" applyAlignment="1" applyProtection="1">
      <alignment horizontal="center"/>
      <protection locked="0"/>
    </xf>
    <xf numFmtId="3" fontId="6" fillId="0" borderId="17" xfId="58" applyNumberFormat="1" applyFont="1" applyBorder="1" applyAlignment="1" applyProtection="1">
      <alignment horizontal="left"/>
      <protection locked="0"/>
    </xf>
    <xf numFmtId="3" fontId="11" fillId="0" borderId="0" xfId="58" applyNumberFormat="1" applyFont="1" applyAlignment="1" applyProtection="1">
      <alignment horizontal="center"/>
      <protection locked="0"/>
    </xf>
    <xf numFmtId="3" fontId="12" fillId="0" borderId="17" xfId="58" applyNumberFormat="1" applyFont="1" applyBorder="1" applyAlignment="1" applyProtection="1">
      <alignment horizontal="center" vertical="center" wrapText="1"/>
      <protection locked="0"/>
    </xf>
    <xf numFmtId="3" fontId="17" fillId="0" borderId="17" xfId="58" applyNumberFormat="1" applyFont="1" applyBorder="1" applyAlignment="1" applyProtection="1">
      <alignment horizontal="center" vertical="center" wrapText="1"/>
      <protection locked="0"/>
    </xf>
    <xf numFmtId="3" fontId="17" fillId="0" borderId="0" xfId="58" applyNumberFormat="1" applyFont="1" applyBorder="1" applyProtection="1">
      <alignment/>
      <protection locked="0"/>
    </xf>
    <xf numFmtId="3" fontId="17" fillId="0" borderId="10" xfId="58" applyNumberFormat="1" applyFont="1" applyBorder="1" applyProtection="1">
      <alignment/>
      <protection locked="0"/>
    </xf>
    <xf numFmtId="0" fontId="11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10" fontId="11" fillId="0" borderId="0" xfId="0" applyNumberFormat="1" applyFont="1" applyAlignment="1">
      <alignment/>
    </xf>
    <xf numFmtId="3" fontId="16" fillId="0" borderId="0" xfId="0" applyNumberFormat="1" applyFont="1" applyAlignment="1" applyProtection="1">
      <alignment/>
      <protection locked="0"/>
    </xf>
    <xf numFmtId="0" fontId="15" fillId="0" borderId="17" xfId="0" applyFont="1" applyBorder="1" applyAlignment="1">
      <alignment/>
    </xf>
    <xf numFmtId="0" fontId="11" fillId="0" borderId="0" xfId="0" applyFont="1" applyAlignment="1" applyProtection="1">
      <alignment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1" fillId="0" borderId="10" xfId="56" applyNumberFormat="1" applyFont="1" applyBorder="1" applyProtection="1">
      <alignment/>
      <protection/>
    </xf>
    <xf numFmtId="3" fontId="11" fillId="0" borderId="0" xfId="56" applyNumberFormat="1" applyFont="1" applyBorder="1" applyProtection="1">
      <alignment/>
      <protection/>
    </xf>
    <xf numFmtId="4" fontId="11" fillId="0" borderId="0" xfId="56" applyNumberFormat="1" applyFont="1" applyProtection="1">
      <alignment/>
      <protection/>
    </xf>
    <xf numFmtId="10" fontId="11" fillId="0" borderId="35" xfId="52" applyNumberFormat="1" applyFont="1" applyBorder="1" applyAlignment="1" applyProtection="1">
      <alignment/>
      <protection/>
    </xf>
    <xf numFmtId="3" fontId="11" fillId="0" borderId="26" xfId="56" applyNumberFormat="1" applyFont="1" applyBorder="1" applyProtection="1">
      <alignment/>
      <protection/>
    </xf>
    <xf numFmtId="3" fontId="11" fillId="0" borderId="26" xfId="54" applyNumberFormat="1" applyFont="1" applyBorder="1" applyProtection="1">
      <alignment/>
      <protection locked="0"/>
    </xf>
    <xf numFmtId="3" fontId="11" fillId="0" borderId="42" xfId="54" applyNumberFormat="1" applyFont="1" applyBorder="1" applyProtection="1">
      <alignment/>
      <protection locked="0"/>
    </xf>
    <xf numFmtId="3" fontId="12" fillId="0" borderId="18" xfId="56" applyNumberFormat="1" applyFont="1" applyBorder="1" applyProtection="1">
      <alignment/>
      <protection/>
    </xf>
    <xf numFmtId="3" fontId="11" fillId="0" borderId="27" xfId="56" applyNumberFormat="1" applyFont="1" applyBorder="1" applyProtection="1">
      <alignment/>
      <protection/>
    </xf>
    <xf numFmtId="3" fontId="12" fillId="0" borderId="37" xfId="56" applyNumberFormat="1" applyFont="1" applyBorder="1" applyProtection="1">
      <alignment/>
      <protection/>
    </xf>
    <xf numFmtId="2" fontId="12" fillId="0" borderId="37" xfId="56" applyNumberFormat="1" applyFont="1" applyFill="1" applyBorder="1" applyProtection="1">
      <alignment/>
      <protection/>
    </xf>
    <xf numFmtId="0" fontId="5" fillId="0" borderId="0" xfId="56" applyFont="1" applyProtection="1">
      <alignment/>
      <protection locked="0"/>
    </xf>
    <xf numFmtId="3" fontId="5" fillId="0" borderId="26" xfId="56" applyNumberFormat="1" applyFont="1" applyBorder="1" applyProtection="1">
      <alignment/>
      <protection locked="0"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 applyProtection="1">
      <alignment horizontal="center"/>
      <protection/>
    </xf>
    <xf numFmtId="0" fontId="5" fillId="0" borderId="29" xfId="56" applyFont="1" applyBorder="1" applyAlignment="1" applyProtection="1">
      <alignment horizontal="center"/>
      <protection/>
    </xf>
    <xf numFmtId="0" fontId="5" fillId="0" borderId="26" xfId="56" applyFont="1" applyBorder="1" applyAlignment="1" applyProtection="1">
      <alignment horizontal="center"/>
      <protection/>
    </xf>
    <xf numFmtId="0" fontId="5" fillId="0" borderId="0" xfId="56" applyFont="1" applyFill="1" applyAlignment="1" applyProtection="1">
      <alignment horizontal="center"/>
      <protection/>
    </xf>
    <xf numFmtId="0" fontId="6" fillId="0" borderId="18" xfId="56" applyFont="1" applyBorder="1" applyAlignment="1" applyProtection="1">
      <alignment horizontal="left"/>
      <protection/>
    </xf>
    <xf numFmtId="0" fontId="5" fillId="0" borderId="19" xfId="56" applyFont="1" applyBorder="1" applyAlignment="1" applyProtection="1">
      <alignment horizontal="left"/>
      <protection/>
    </xf>
    <xf numFmtId="0" fontId="6" fillId="0" borderId="0" xfId="56" applyFont="1" applyAlignment="1" applyProtection="1">
      <alignment horizontal="left"/>
      <protection/>
    </xf>
    <xf numFmtId="0" fontId="5" fillId="0" borderId="0" xfId="56" applyFont="1" applyAlignment="1" applyProtection="1">
      <alignment horizontal="left"/>
      <protection/>
    </xf>
    <xf numFmtId="0" fontId="6" fillId="0" borderId="23" xfId="56" applyFont="1" applyBorder="1" applyAlignment="1" applyProtection="1">
      <alignment horizontal="left"/>
      <protection/>
    </xf>
    <xf numFmtId="0" fontId="5" fillId="0" borderId="32" xfId="56" applyFont="1" applyBorder="1" applyAlignment="1" applyProtection="1">
      <alignment horizontal="left"/>
      <protection/>
    </xf>
    <xf numFmtId="0" fontId="5" fillId="0" borderId="27" xfId="56" applyFont="1" applyBorder="1" applyAlignment="1" applyProtection="1">
      <alignment horizontal="left"/>
      <protection/>
    </xf>
    <xf numFmtId="0" fontId="5" fillId="0" borderId="34" xfId="56" applyFont="1" applyBorder="1" applyAlignment="1" applyProtection="1">
      <alignment horizontal="left"/>
      <protection/>
    </xf>
    <xf numFmtId="0" fontId="5" fillId="0" borderId="35" xfId="56" applyFont="1" applyBorder="1" applyAlignment="1" applyProtection="1">
      <alignment horizontal="left"/>
      <protection/>
    </xf>
    <xf numFmtId="178" fontId="11" fillId="0" borderId="0" xfId="56" applyNumberFormat="1" applyFont="1" applyBorder="1" applyProtection="1">
      <alignment/>
      <protection/>
    </xf>
    <xf numFmtId="0" fontId="11" fillId="0" borderId="0" xfId="56" applyFont="1" applyBorder="1" applyAlignment="1" applyProtection="1">
      <alignment horizontal="right"/>
      <protection/>
    </xf>
    <xf numFmtId="10" fontId="11" fillId="0" borderId="35" xfId="56" applyNumberFormat="1" applyFont="1" applyBorder="1" applyProtection="1">
      <alignment/>
      <protection/>
    </xf>
    <xf numFmtId="0" fontId="6" fillId="0" borderId="27" xfId="56" applyFont="1" applyBorder="1" applyAlignment="1" applyProtection="1">
      <alignment horizontal="left"/>
      <protection/>
    </xf>
    <xf numFmtId="0" fontId="15" fillId="0" borderId="0" xfId="56" applyFont="1" applyBorder="1" applyAlignment="1" applyProtection="1">
      <alignment horizontal="right"/>
      <protection locked="0"/>
    </xf>
    <xf numFmtId="3" fontId="15" fillId="0" borderId="26" xfId="56" applyNumberFormat="1" applyFont="1" applyBorder="1" applyProtection="1">
      <alignment/>
      <protection locked="0"/>
    </xf>
    <xf numFmtId="0" fontId="6" fillId="0" borderId="18" xfId="55" applyFont="1" applyBorder="1" applyAlignment="1" applyProtection="1">
      <alignment horizontal="left"/>
      <protection/>
    </xf>
    <xf numFmtId="0" fontId="5" fillId="0" borderId="0" xfId="54" applyFont="1" applyAlignment="1" applyProtection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0" borderId="43" xfId="56" applyFont="1" applyBorder="1" applyProtection="1">
      <alignment/>
      <protection/>
    </xf>
    <xf numFmtId="3" fontId="11" fillId="0" borderId="26" xfId="54" applyNumberFormat="1" applyFont="1" applyBorder="1" applyProtection="1">
      <alignment/>
      <protection/>
    </xf>
    <xf numFmtId="3" fontId="12" fillId="0" borderId="18" xfId="54" applyNumberFormat="1" applyFont="1" applyBorder="1" applyProtection="1">
      <alignment/>
      <protection/>
    </xf>
    <xf numFmtId="3" fontId="11" fillId="0" borderId="28" xfId="54" applyNumberFormat="1" applyFont="1" applyBorder="1" applyProtection="1">
      <alignment/>
      <protection locked="0"/>
    </xf>
    <xf numFmtId="3" fontId="12" fillId="0" borderId="37" xfId="54" applyNumberFormat="1" applyFont="1" applyBorder="1" applyProtection="1">
      <alignment/>
      <protection/>
    </xf>
    <xf numFmtId="3" fontId="11" fillId="0" borderId="4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31" xfId="0" applyNumberFormat="1" applyFont="1" applyBorder="1" applyAlignment="1">
      <alignment horizontal="centerContinuous"/>
    </xf>
    <xf numFmtId="3" fontId="12" fillId="0" borderId="21" xfId="0" applyNumberFormat="1" applyFont="1" applyFill="1" applyBorder="1" applyAlignment="1">
      <alignment/>
    </xf>
    <xf numFmtId="10" fontId="12" fillId="0" borderId="21" xfId="0" applyNumberFormat="1" applyFont="1" applyFill="1" applyBorder="1" applyAlignment="1">
      <alignment/>
    </xf>
    <xf numFmtId="3" fontId="5" fillId="0" borderId="44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4" fontId="11" fillId="0" borderId="0" xfId="58" applyNumberFormat="1" applyFont="1" applyBorder="1" applyProtection="1">
      <alignment/>
      <protection locked="0"/>
    </xf>
    <xf numFmtId="4" fontId="11" fillId="0" borderId="17" xfId="58" applyNumberFormat="1" applyFont="1" applyBorder="1" applyProtection="1">
      <alignment/>
      <protection locked="0"/>
    </xf>
    <xf numFmtId="4" fontId="12" fillId="0" borderId="0" xfId="58" applyNumberFormat="1" applyFont="1" applyProtection="1">
      <alignment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4" fontId="15" fillId="0" borderId="0" xfId="58" applyNumberFormat="1" applyFont="1" applyProtection="1">
      <alignment/>
      <protection locked="0"/>
    </xf>
    <xf numFmtId="3" fontId="12" fillId="0" borderId="45" xfId="58" applyNumberFormat="1" applyFont="1" applyBorder="1" applyProtection="1">
      <alignment/>
      <protection locked="0"/>
    </xf>
    <xf numFmtId="4" fontId="12" fillId="0" borderId="45" xfId="58" applyNumberFormat="1" applyFont="1" applyBorder="1" applyProtection="1">
      <alignment/>
      <protection locked="0"/>
    </xf>
    <xf numFmtId="3" fontId="6" fillId="1" borderId="20" xfId="58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Border="1" applyAlignment="1">
      <alignment/>
    </xf>
    <xf numFmtId="181" fontId="5" fillId="0" borderId="0" xfId="0" applyNumberFormat="1" applyFont="1" applyBorder="1" applyAlignment="1" applyProtection="1">
      <alignment horizontal="right"/>
      <protection locked="0"/>
    </xf>
    <xf numFmtId="181" fontId="11" fillId="0" borderId="0" xfId="0" applyNumberFormat="1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81" fontId="6" fillId="1" borderId="20" xfId="58" applyNumberFormat="1" applyFont="1" applyFill="1" applyBorder="1" applyProtection="1">
      <alignment/>
      <protection locked="0"/>
    </xf>
    <xf numFmtId="181" fontId="6" fillId="0" borderId="17" xfId="58" applyNumberFormat="1" applyFont="1" applyBorder="1" applyAlignment="1" applyProtection="1">
      <alignment horizontal="center" vertical="center" wrapText="1"/>
      <protection locked="0"/>
    </xf>
    <xf numFmtId="181" fontId="11" fillId="0" borderId="0" xfId="58" applyNumberFormat="1" applyFont="1" applyProtection="1">
      <alignment/>
      <protection locked="0"/>
    </xf>
    <xf numFmtId="181" fontId="11" fillId="0" borderId="0" xfId="0" applyNumberFormat="1" applyFont="1" applyAlignment="1">
      <alignment/>
    </xf>
    <xf numFmtId="181" fontId="11" fillId="0" borderId="17" xfId="0" applyNumberFormat="1" applyFont="1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_Material- &amp; Fertigungstabelle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Administrative Kostenstellen" xfId="54"/>
    <cellStyle name="Standard_KS 200 Techniker" xfId="55"/>
    <cellStyle name="Standard_KS 210 Analytiker-Programm" xfId="56"/>
    <cellStyle name="Standard_Material- &amp; Fertigungstabelle" xfId="57"/>
    <cellStyle name="Standard_Plan-VER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2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B1" sqref="B1"/>
    </sheetView>
  </sheetViews>
  <sheetFormatPr defaultColWidth="11.421875" defaultRowHeight="12.75"/>
  <cols>
    <col min="1" max="1" width="28.8515625" style="210" customWidth="1"/>
    <col min="2" max="10" width="13.8515625" style="29" customWidth="1"/>
    <col min="11" max="16384" width="11.421875" style="1" customWidth="1"/>
  </cols>
  <sheetData>
    <row r="1" spans="1:4" ht="12.75">
      <c r="A1" s="210" t="s">
        <v>197</v>
      </c>
      <c r="C1" s="29" t="s">
        <v>1</v>
      </c>
      <c r="D1" s="29" t="s">
        <v>196</v>
      </c>
    </row>
    <row r="2" spans="1:2" ht="15.75">
      <c r="A2" s="211" t="s">
        <v>2</v>
      </c>
      <c r="B2" s="30"/>
    </row>
    <row r="3" spans="1:10" ht="12.75">
      <c r="A3" s="212"/>
      <c r="B3" s="31" t="s">
        <v>3</v>
      </c>
      <c r="C3" s="32" t="s">
        <v>4</v>
      </c>
      <c r="D3" s="32"/>
      <c r="E3" s="32"/>
      <c r="F3" s="32"/>
      <c r="G3" s="308" t="s">
        <v>5</v>
      </c>
      <c r="H3" s="32"/>
      <c r="I3" s="32"/>
      <c r="J3" s="32"/>
    </row>
    <row r="4" spans="1:10" s="97" customFormat="1" ht="51">
      <c r="A4" s="225"/>
      <c r="B4" s="162" t="s">
        <v>6</v>
      </c>
      <c r="C4" s="162" t="s">
        <v>6</v>
      </c>
      <c r="D4" s="162" t="str">
        <f>'Produkt- &amp; Fertigungstabelle'!$B$4</f>
        <v>Eingriffe Bauch/ Hernien</v>
      </c>
      <c r="E4" s="162" t="str">
        <f>'Produkt- &amp; Fertigungstabelle'!$B$5</f>
        <v>Eingriffe Harn-/Geschlechts-organe</v>
      </c>
      <c r="F4" s="162" t="str">
        <f>'Produkt- &amp; Fertigungstabelle'!$B$6</f>
        <v>Eingriffe Haut/Sehnen/Nerven/ Gefässe</v>
      </c>
      <c r="G4" s="162" t="s">
        <v>7</v>
      </c>
      <c r="H4" s="162" t="str">
        <f>'Produkt- &amp; Fertigungstabelle'!$B$7</f>
        <v>Eingriffe Knochen/ Gelenke</v>
      </c>
      <c r="I4" s="162" t="str">
        <f>'Produkt- &amp; Fertigungstabelle'!$B$8</f>
        <v>Eingriffe Brust/Wirbel-säule</v>
      </c>
      <c r="J4" s="162" t="str">
        <f>'Produkt- &amp; Fertigungstabelle'!$B$9</f>
        <v>Eingriffe Kopf/Hals</v>
      </c>
    </row>
    <row r="5" spans="1:10" ht="12.75">
      <c r="A5" s="226"/>
      <c r="B5" s="161"/>
      <c r="C5" s="33"/>
      <c r="D5" s="33"/>
      <c r="E5" s="33"/>
      <c r="F5" s="33"/>
      <c r="G5" s="33"/>
      <c r="H5" s="33"/>
      <c r="I5" s="33"/>
      <c r="J5" s="33"/>
    </row>
    <row r="6" spans="1:10" ht="12.75">
      <c r="A6" s="210" t="s">
        <v>8</v>
      </c>
      <c r="B6" s="205">
        <f>C6+G6</f>
        <v>2770</v>
      </c>
      <c r="C6" s="204">
        <f>SUM(D6:F6)</f>
        <v>1760</v>
      </c>
      <c r="D6" s="39">
        <v>400</v>
      </c>
      <c r="E6" s="39">
        <v>720</v>
      </c>
      <c r="F6" s="39">
        <v>640</v>
      </c>
      <c r="G6" s="204">
        <f>SUM(H6:J6)</f>
        <v>1010</v>
      </c>
      <c r="H6" s="39">
        <v>290</v>
      </c>
      <c r="I6" s="39">
        <v>320</v>
      </c>
      <c r="J6" s="39">
        <v>400</v>
      </c>
    </row>
    <row r="7" spans="1:10" ht="12.75">
      <c r="A7" s="210" t="s">
        <v>9</v>
      </c>
      <c r="B7" s="205">
        <f>C7+G7</f>
        <v>515</v>
      </c>
      <c r="C7" s="204">
        <f>SUM(D7:F7)</f>
        <v>330</v>
      </c>
      <c r="D7" s="39">
        <v>75</v>
      </c>
      <c r="E7" s="39">
        <v>135</v>
      </c>
      <c r="F7" s="39">
        <v>120</v>
      </c>
      <c r="G7" s="204">
        <f>SUM(H7:J7)</f>
        <v>185</v>
      </c>
      <c r="H7" s="39">
        <v>50</v>
      </c>
      <c r="I7" s="39">
        <v>60</v>
      </c>
      <c r="J7" s="39">
        <v>75</v>
      </c>
    </row>
    <row r="8" spans="1:10" ht="12.75">
      <c r="A8" s="218" t="s">
        <v>10</v>
      </c>
      <c r="B8" s="205">
        <f>C8+G8</f>
        <v>175</v>
      </c>
      <c r="C8" s="206">
        <f>SUM(D8:F8)</f>
        <v>110</v>
      </c>
      <c r="D8" s="38">
        <v>25</v>
      </c>
      <c r="E8" s="38">
        <v>45</v>
      </c>
      <c r="F8" s="38">
        <v>40</v>
      </c>
      <c r="G8" s="204">
        <f>SUM(H8:J8)</f>
        <v>65</v>
      </c>
      <c r="H8" s="38">
        <v>20</v>
      </c>
      <c r="I8" s="38">
        <v>20</v>
      </c>
      <c r="J8" s="38">
        <v>25</v>
      </c>
    </row>
    <row r="9" spans="1:10" s="168" customFormat="1" ht="12.75">
      <c r="A9" s="215" t="s">
        <v>218</v>
      </c>
      <c r="B9" s="306">
        <f>C9+G9</f>
        <v>3460</v>
      </c>
      <c r="C9" s="205">
        <f>SUM(D9:F9)</f>
        <v>2200</v>
      </c>
      <c r="D9" s="201">
        <f>SUM(D6:D8)</f>
        <v>500</v>
      </c>
      <c r="E9" s="201">
        <f aca="true" t="shared" si="0" ref="E9:J9">SUM(E6:E8)</f>
        <v>900</v>
      </c>
      <c r="F9" s="201">
        <f t="shared" si="0"/>
        <v>800</v>
      </c>
      <c r="G9" s="306">
        <f>SUM(H9:J9)</f>
        <v>1260</v>
      </c>
      <c r="H9" s="201">
        <f t="shared" si="0"/>
        <v>360</v>
      </c>
      <c r="I9" s="201">
        <f t="shared" si="0"/>
        <v>400</v>
      </c>
      <c r="J9" s="201">
        <f t="shared" si="0"/>
        <v>500</v>
      </c>
    </row>
    <row r="10" spans="1:10" s="168" customFormat="1" ht="12.75">
      <c r="A10" s="215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s="168" customFormat="1" ht="12.75">
      <c r="A11" s="210" t="s">
        <v>8</v>
      </c>
      <c r="B11" s="205">
        <f>C11+G11</f>
        <v>15770</v>
      </c>
      <c r="C11" s="204">
        <f>SUM(D11:F11)</f>
        <v>7010</v>
      </c>
      <c r="D11" s="297">
        <f>'Produkt- &amp; Fertigungstabelle'!$F$4</f>
        <v>2740</v>
      </c>
      <c r="E11" s="297">
        <f>'Produkt- &amp; Fertigungstabelle'!$F$5</f>
        <v>2420</v>
      </c>
      <c r="F11" s="297">
        <f>'Produkt- &amp; Fertigungstabelle'!$F$6</f>
        <v>1850</v>
      </c>
      <c r="G11" s="204">
        <f>SUM(H11:J11)</f>
        <v>8760</v>
      </c>
      <c r="H11" s="297">
        <f>'Produkt- &amp; Fertigungstabelle'!$F$7</f>
        <v>3120</v>
      </c>
      <c r="I11" s="297">
        <f>'Produkt- &amp; Fertigungstabelle'!$F$8</f>
        <v>2740</v>
      </c>
      <c r="J11" s="297">
        <f>'Produkt- &amp; Fertigungstabelle'!$F$9</f>
        <v>2900</v>
      </c>
    </row>
    <row r="12" spans="1:10" s="168" customFormat="1" ht="12.75">
      <c r="A12" s="210" t="s">
        <v>9</v>
      </c>
      <c r="B12" s="205">
        <f>C12+G12</f>
        <v>25380</v>
      </c>
      <c r="C12" s="204">
        <f>SUM(D12:F12)</f>
        <v>11280</v>
      </c>
      <c r="D12" s="297">
        <f>'Produkt- &amp; Fertigungstabelle'!$G$4</f>
        <v>4410</v>
      </c>
      <c r="E12" s="297">
        <f>'Produkt- &amp; Fertigungstabelle'!$G$5</f>
        <v>3890</v>
      </c>
      <c r="F12" s="297">
        <f>'Produkt- &amp; Fertigungstabelle'!$G$6</f>
        <v>2980</v>
      </c>
      <c r="G12" s="204">
        <f>SUM(H12:J12)</f>
        <v>14100</v>
      </c>
      <c r="H12" s="297">
        <f>'Produkt- &amp; Fertigungstabelle'!$G$7</f>
        <v>5030</v>
      </c>
      <c r="I12" s="297">
        <f>'Produkt- &amp; Fertigungstabelle'!$G$8</f>
        <v>4410</v>
      </c>
      <c r="J12" s="297">
        <f>'Produkt- &amp; Fertigungstabelle'!$G$9</f>
        <v>4660</v>
      </c>
    </row>
    <row r="13" spans="1:10" s="168" customFormat="1" ht="12.75">
      <c r="A13" s="218" t="s">
        <v>10</v>
      </c>
      <c r="B13" s="205">
        <f>C13+G13</f>
        <v>28655</v>
      </c>
      <c r="C13" s="206">
        <f>SUM(D13:F13)</f>
        <v>12600</v>
      </c>
      <c r="D13" s="298">
        <f>'Produkt- &amp; Fertigungstabelle'!$H$4</f>
        <v>4930</v>
      </c>
      <c r="E13" s="298">
        <f>'Produkt- &amp; Fertigungstabelle'!$H$5</f>
        <v>4410</v>
      </c>
      <c r="F13" s="298">
        <f>'Produkt- &amp; Fertigungstabelle'!$H$6</f>
        <v>3260</v>
      </c>
      <c r="G13" s="204">
        <f>SUM(H13:J13)</f>
        <v>16055</v>
      </c>
      <c r="H13" s="298">
        <f>'Produkt- &amp; Fertigungstabelle'!$H$7</f>
        <v>5905</v>
      </c>
      <c r="I13" s="298">
        <f>'Produkt- &amp; Fertigungstabelle'!$H$8</f>
        <v>4930</v>
      </c>
      <c r="J13" s="298">
        <f>'Produkt- &amp; Fertigungstabelle'!$H$9</f>
        <v>5220</v>
      </c>
    </row>
    <row r="14" spans="1:10" s="300" customFormat="1" ht="12.75">
      <c r="A14" s="215" t="s">
        <v>12</v>
      </c>
      <c r="B14" s="307">
        <f aca="true" t="shared" si="1" ref="B14:J14">ROUND(B16/B9,-1)</f>
        <v>2840</v>
      </c>
      <c r="C14" s="299">
        <f t="shared" si="1"/>
        <v>2590</v>
      </c>
      <c r="D14" s="299">
        <f t="shared" si="1"/>
        <v>3100</v>
      </c>
      <c r="E14" s="299">
        <f t="shared" si="1"/>
        <v>2740</v>
      </c>
      <c r="F14" s="299">
        <f t="shared" si="1"/>
        <v>2090</v>
      </c>
      <c r="G14" s="307">
        <f t="shared" si="1"/>
        <v>3300</v>
      </c>
      <c r="H14" s="299">
        <f t="shared" si="1"/>
        <v>3540</v>
      </c>
      <c r="I14" s="299">
        <f t="shared" si="1"/>
        <v>3100</v>
      </c>
      <c r="J14" s="299">
        <f t="shared" si="1"/>
        <v>3280</v>
      </c>
    </row>
    <row r="15" spans="1:10" s="168" customFormat="1" ht="12.75">
      <c r="A15" s="210"/>
      <c r="B15" s="198"/>
      <c r="C15" s="198"/>
      <c r="D15" s="198"/>
      <c r="E15" s="198"/>
      <c r="F15" s="198"/>
      <c r="G15" s="198"/>
      <c r="H15" s="198"/>
      <c r="I15" s="198"/>
      <c r="J15" s="198"/>
    </row>
    <row r="16" spans="1:10" s="301" customFormat="1" ht="12.75">
      <c r="A16" s="226" t="s">
        <v>13</v>
      </c>
      <c r="B16" s="205">
        <f>C16+G16</f>
        <v>9842400</v>
      </c>
      <c r="C16" s="205">
        <f>SUM(D16:F16)</f>
        <v>5688000</v>
      </c>
      <c r="D16" s="205">
        <f>D6*D11+D7*D12+D8*D13</f>
        <v>1550000</v>
      </c>
      <c r="E16" s="205">
        <f>E6*E11+E7*E12+E8*E13</f>
        <v>2466000</v>
      </c>
      <c r="F16" s="205">
        <f>F6*F11+F7*F12+F8*F13</f>
        <v>1672000</v>
      </c>
      <c r="G16" s="205">
        <f>SUM(H16:J16)</f>
        <v>4154400</v>
      </c>
      <c r="H16" s="205">
        <f>H6*H11+H7*H12+H8*H13</f>
        <v>1274400</v>
      </c>
      <c r="I16" s="205">
        <f>I6*I11+I7*I12+I8*I13</f>
        <v>1240000</v>
      </c>
      <c r="J16" s="205">
        <f>J6*J11+J7*J12+J8*J13</f>
        <v>1640000</v>
      </c>
    </row>
    <row r="17" s="3" customFormat="1" ht="12.75">
      <c r="A17" s="303"/>
    </row>
    <row r="18" s="3" customFormat="1" ht="12.75">
      <c r="A18" s="303"/>
    </row>
    <row r="19" spans="1:10" s="168" customFormat="1" ht="12.75">
      <c r="A19" s="210" t="s">
        <v>14</v>
      </c>
      <c r="B19" s="199">
        <f>B20/SUM(D9:J9)</f>
        <v>5.97457627118644</v>
      </c>
      <c r="C19" s="199">
        <f>C20/SUM(D9:F9)</f>
        <v>8.545454545454545</v>
      </c>
      <c r="D19" s="199">
        <f>'Produkt- &amp; Fertigungstabelle'!$K$4</f>
        <v>8.5</v>
      </c>
      <c r="E19" s="199">
        <f>'Produkt- &amp; Fertigungstabelle'!$K$5</f>
        <v>9.5</v>
      </c>
      <c r="F19" s="199">
        <f>'Produkt- &amp; Fertigungstabelle'!$K$6</f>
        <v>7.5</v>
      </c>
      <c r="G19" s="199">
        <f>G20/SUM(H9:J9)</f>
        <v>7.4603174603174605</v>
      </c>
      <c r="H19" s="199">
        <f>'Produkt- &amp; Fertigungstabelle'!$K$7</f>
        <v>7.5</v>
      </c>
      <c r="I19" s="199">
        <f>'Produkt- &amp; Fertigungstabelle'!$K$8</f>
        <v>6.75</v>
      </c>
      <c r="J19" s="199">
        <f>'Produkt- &amp; Fertigungstabelle'!$K$9</f>
        <v>8</v>
      </c>
    </row>
    <row r="20" spans="1:10" s="168" customFormat="1" ht="12.75">
      <c r="A20" s="210" t="s">
        <v>15</v>
      </c>
      <c r="B20" s="198">
        <f>C20+G20</f>
        <v>28200</v>
      </c>
      <c r="C20" s="198">
        <f>SUM(D20:F20)</f>
        <v>18800</v>
      </c>
      <c r="D20" s="199">
        <f>D9*D19</f>
        <v>4250</v>
      </c>
      <c r="E20" s="199">
        <f>E9*E19</f>
        <v>8550</v>
      </c>
      <c r="F20" s="199">
        <f>F9*F19</f>
        <v>6000</v>
      </c>
      <c r="G20" s="198">
        <f>SUM(H20:J20)</f>
        <v>9400</v>
      </c>
      <c r="H20" s="199">
        <f>H9*H19</f>
        <v>2700</v>
      </c>
      <c r="I20" s="199">
        <f>I9*I19</f>
        <v>2700</v>
      </c>
      <c r="J20" s="199">
        <f>J9*J19</f>
        <v>4000</v>
      </c>
    </row>
    <row r="21" s="302" customFormat="1" ht="12.75">
      <c r="A21" s="304"/>
    </row>
    <row r="22" spans="1:10" s="168" customFormat="1" ht="12.75">
      <c r="A22" s="210"/>
      <c r="B22" s="198"/>
      <c r="C22" s="198"/>
      <c r="D22" s="198"/>
      <c r="E22" s="198"/>
      <c r="F22" s="198"/>
      <c r="G22" s="198"/>
      <c r="H22" s="198"/>
      <c r="I22" s="198"/>
      <c r="J22" s="198"/>
    </row>
    <row r="23" spans="1:10" s="168" customFormat="1" ht="12.75" hidden="1">
      <c r="A23" s="210" t="s">
        <v>16</v>
      </c>
      <c r="B23" s="198"/>
      <c r="C23" s="199"/>
      <c r="D23" s="199">
        <f>'Produkt- &amp; Fertigungstabelle'!$D$4</f>
        <v>344</v>
      </c>
      <c r="E23" s="199">
        <f>'Produkt- &amp; Fertigungstabelle'!$D$5</f>
        <v>128</v>
      </c>
      <c r="F23" s="199">
        <f>'Produkt- &amp; Fertigungstabelle'!$D$6</f>
        <v>90</v>
      </c>
      <c r="G23" s="199"/>
      <c r="H23" s="199">
        <f>'Produkt- &amp; Fertigungstabelle'!$D$7</f>
        <v>126</v>
      </c>
      <c r="I23" s="199">
        <f>'Produkt- &amp; Fertigungstabelle'!$D$8</f>
        <v>240</v>
      </c>
      <c r="J23" s="199">
        <f>'Produkt- &amp; Fertigungstabelle'!$D$9</f>
        <v>90</v>
      </c>
    </row>
    <row r="24" spans="1:10" s="168" customFormat="1" ht="12.75" hidden="1">
      <c r="A24" s="210"/>
      <c r="B24" s="205">
        <f>C24+G24</f>
        <v>545560</v>
      </c>
      <c r="C24" s="205">
        <f>SUM(D24:F24)</f>
        <v>359200</v>
      </c>
      <c r="D24" s="198">
        <f>D23*D9</f>
        <v>172000</v>
      </c>
      <c r="E24" s="198">
        <f>E23*E9</f>
        <v>115200</v>
      </c>
      <c r="F24" s="198">
        <f>F23*F9</f>
        <v>72000</v>
      </c>
      <c r="G24" s="205">
        <f>SUM(H24:J24)</f>
        <v>186360</v>
      </c>
      <c r="H24" s="198">
        <f>H23*H9</f>
        <v>45360</v>
      </c>
      <c r="I24" s="198">
        <f>I23*I9</f>
        <v>96000</v>
      </c>
      <c r="J24" s="198">
        <f>J23*J9</f>
        <v>45000</v>
      </c>
    </row>
    <row r="25" spans="1:10" s="168" customFormat="1" ht="12.75" hidden="1">
      <c r="A25" s="210"/>
      <c r="B25" s="198"/>
      <c r="C25" s="198"/>
      <c r="D25" s="198"/>
      <c r="E25" s="198"/>
      <c r="F25" s="198"/>
      <c r="G25" s="198"/>
      <c r="H25" s="198"/>
      <c r="I25" s="198"/>
      <c r="J25" s="198"/>
    </row>
    <row r="26" spans="1:10" s="175" customFormat="1" ht="12.75">
      <c r="A26" s="305" t="s">
        <v>17</v>
      </c>
      <c r="B26" s="199"/>
      <c r="C26" s="199"/>
      <c r="D26" s="199">
        <f>'Produkt- &amp; Fertigungstabelle'!$I$4</f>
        <v>2.4</v>
      </c>
      <c r="E26" s="199">
        <f>'Produkt- &amp; Fertigungstabelle'!$I$5</f>
        <v>1.8</v>
      </c>
      <c r="F26" s="199">
        <f>'Produkt- &amp; Fertigungstabelle'!$I$6</f>
        <v>2.19</v>
      </c>
      <c r="G26" s="199"/>
      <c r="H26" s="199">
        <f>'Produkt- &amp; Fertigungstabelle'!$I$7</f>
        <v>2.4</v>
      </c>
      <c r="I26" s="199">
        <f>'Produkt- &amp; Fertigungstabelle'!$I$8</f>
        <v>1.8</v>
      </c>
      <c r="J26" s="199">
        <f>'Produkt- &amp; Fertigungstabelle'!$I$9</f>
        <v>2.19</v>
      </c>
    </row>
    <row r="27" spans="1:10" s="168" customFormat="1" ht="12.75">
      <c r="A27" s="210" t="s">
        <v>18</v>
      </c>
      <c r="B27" s="205">
        <f>C27+G27</f>
        <v>7251</v>
      </c>
      <c r="C27" s="205">
        <f>SUM(D27:F27)</f>
        <v>4572</v>
      </c>
      <c r="D27" s="198">
        <f>D26*D9</f>
        <v>1200</v>
      </c>
      <c r="E27" s="198">
        <f>E26*E9</f>
        <v>1620</v>
      </c>
      <c r="F27" s="198">
        <f>F26*F9</f>
        <v>1752</v>
      </c>
      <c r="G27" s="205">
        <f>SUM(H27:J27)</f>
        <v>2679</v>
      </c>
      <c r="H27" s="198">
        <f>H26*H9</f>
        <v>864</v>
      </c>
      <c r="I27" s="198">
        <f>I26*I9</f>
        <v>720</v>
      </c>
      <c r="J27" s="198">
        <f>J26*J9</f>
        <v>1095</v>
      </c>
    </row>
    <row r="28" spans="1:10" ht="12.75" hidden="1">
      <c r="A28" s="210" t="s">
        <v>19</v>
      </c>
      <c r="B28" s="33"/>
      <c r="C28" s="33"/>
      <c r="D28" s="29">
        <f>D27*('Produkt- &amp; Fertigungstabelle'!$D$18+'Produkt- &amp; Fertigungstabelle'!$E$18)</f>
        <v>221818.78361605297</v>
      </c>
      <c r="E28" s="29">
        <f>E27*('Produkt- &amp; Fertigungstabelle'!$D$18+'Produkt- &amp; Fertigungstabelle'!$E$18)</f>
        <v>299455.3578816715</v>
      </c>
      <c r="F28" s="29">
        <f>F27*('Produkt- &amp; Fertigungstabelle'!$D$18+'Produkt- &amp; Fertigungstabelle'!$E$18)</f>
        <v>323855.42407943733</v>
      </c>
      <c r="H28" s="29">
        <f>H27*('Produkt- &amp; Fertigungstabelle'!$D$18+'Produkt- &amp; Fertigungstabelle'!$E$18)</f>
        <v>159709.52420355813</v>
      </c>
      <c r="I28" s="29">
        <f>I27*('Produkt- &amp; Fertigungstabelle'!$D$18+'Produkt- &amp; Fertigungstabelle'!$E$18)</f>
        <v>133091.27016963178</v>
      </c>
      <c r="J28" s="29">
        <f>J27*('Produkt- &amp; Fertigungstabelle'!$D$18+'Produkt- &amp; Fertigungstabelle'!$E$18)</f>
        <v>202409.64004964833</v>
      </c>
    </row>
    <row r="29" spans="1:10" ht="12.75" hidden="1">
      <c r="A29" s="210" t="s">
        <v>20</v>
      </c>
      <c r="B29" s="33"/>
      <c r="C29" s="33"/>
      <c r="D29" s="29">
        <f>D27*'Produkt- &amp; Fertigungstabelle'!$D$18</f>
        <v>77467.93545717832</v>
      </c>
      <c r="E29" s="29">
        <f>E27*'Produkt- &amp; Fertigungstabelle'!$D$18</f>
        <v>104581.71286719073</v>
      </c>
      <c r="F29" s="29">
        <f>F27*'Produkt- &amp; Fertigungstabelle'!$D$18</f>
        <v>113103.18576748035</v>
      </c>
      <c r="H29" s="29">
        <f>H27*'Produkt- &amp; Fertigungstabelle'!$D$18</f>
        <v>55776.913529168385</v>
      </c>
      <c r="I29" s="29">
        <f>I27*'Produkt- &amp; Fertigungstabelle'!$D$18</f>
        <v>46480.76127430699</v>
      </c>
      <c r="J29" s="29">
        <f>J27*'Produkt- &amp; Fertigungstabelle'!$D$18</f>
        <v>70689.49110467521</v>
      </c>
    </row>
    <row r="30" ht="12.75" hidden="1"/>
    <row r="31" spans="1:10" ht="12.75" hidden="1">
      <c r="A31" s="210" t="s">
        <v>21</v>
      </c>
      <c r="D31" s="29">
        <f>D19*D9*('Produkt- &amp; Fertigungstabelle'!$D$19+'Produkt- &amp; Fertigungstabelle'!$E$19)</f>
        <v>842872.2074468085</v>
      </c>
      <c r="E31" s="29">
        <f>E19*E9*('Produkt- &amp; Fertigungstabelle'!$D$19+'Produkt- &amp; Fertigungstabelle'!$E$19)</f>
        <v>1695660.5585106383</v>
      </c>
      <c r="F31" s="29">
        <f>F19*F9*('Produkt- &amp; Fertigungstabelle'!$D$19+'Produkt- &amp; Fertigungstabelle'!$E$19)</f>
        <v>1189937.2340425532</v>
      </c>
      <c r="H31" s="29">
        <f>H19*H9*('Produkt- &amp; Fertigungstabelle'!$D$20+'Produkt- &amp; Fertigungstabelle'!$E$20)</f>
        <v>596696.409574468</v>
      </c>
      <c r="I31" s="29">
        <f>I19*I9*('Produkt- &amp; Fertigungstabelle'!$D$20+'Produkt- &amp; Fertigungstabelle'!$E$20)</f>
        <v>596696.409574468</v>
      </c>
      <c r="J31" s="29">
        <f>J19*J9*('Produkt- &amp; Fertigungstabelle'!$D$20+'Produkt- &amp; Fertigungstabelle'!$E$20)</f>
        <v>883994.6808510638</v>
      </c>
    </row>
    <row r="32" spans="1:10" ht="12.75" hidden="1">
      <c r="A32" s="210" t="s">
        <v>22</v>
      </c>
      <c r="D32" s="29">
        <f>D19*D9*'Produkt- &amp; Fertigungstabelle'!$D$19</f>
        <v>380160.2393617022</v>
      </c>
      <c r="E32" s="29">
        <f>E19*E9*'Produkt- &amp; Fertigungstabelle'!$D$19</f>
        <v>764792.9521276596</v>
      </c>
      <c r="F32" s="29">
        <f>F19*F9*'Produkt- &amp; Fertigungstabelle'!$D$19</f>
        <v>536696.8085106383</v>
      </c>
      <c r="H32" s="29">
        <f>H19*H9*'Produkt- &amp; Fertigungstabelle'!$D$20</f>
        <v>300446.8085106383</v>
      </c>
      <c r="I32" s="29">
        <f>I19*I9*'Produkt- &amp; Fertigungstabelle'!$D$20</f>
        <v>300446.8085106383</v>
      </c>
      <c r="J32" s="29">
        <f>J19*J9*'Produkt- &amp; Fertigungstabelle'!$D$20</f>
        <v>445106.3829787234</v>
      </c>
    </row>
  </sheetData>
  <sheetProtection sheet="1"/>
  <printOptions horizontalCentered="1" verticalCentered="1"/>
  <pageMargins left="0.23" right="0.22" top="0.7" bottom="2.68" header="0.3" footer="0.5118110236220472"/>
  <pageSetup fitToHeight="1" fitToWidth="1" orientation="landscape" paperSize="9" scale="94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A1:J37"/>
  <sheetViews>
    <sheetView showGridLines="0" showOutlineSymbols="0" defaultGridColor="0" zoomScalePageLayoutView="0" colorId="8" workbookViewId="0" topLeftCell="A1">
      <selection activeCell="A1" sqref="A1"/>
    </sheetView>
  </sheetViews>
  <sheetFormatPr defaultColWidth="11.421875" defaultRowHeight="12.75" outlineLevelRow="2"/>
  <cols>
    <col min="1" max="1" width="28.28125" style="210" customWidth="1"/>
    <col min="2" max="2" width="13.8515625" style="198" customWidth="1"/>
    <col min="3" max="10" width="13.8515625" style="29" customWidth="1"/>
    <col min="11" max="250" width="10.7109375" style="29" customWidth="1"/>
    <col min="251" max="16384" width="11.421875" style="29" customWidth="1"/>
  </cols>
  <sheetData>
    <row r="1" spans="1:4" ht="12.75">
      <c r="A1" s="210" t="s">
        <v>197</v>
      </c>
      <c r="C1" s="29" t="s">
        <v>1</v>
      </c>
      <c r="D1" s="29" t="s">
        <v>196</v>
      </c>
    </row>
    <row r="2" spans="1:2" ht="15.75">
      <c r="A2" s="211" t="s">
        <v>111</v>
      </c>
      <c r="B2" s="209"/>
    </row>
    <row r="3" spans="1:10" s="217" customFormat="1" ht="12.75">
      <c r="A3" s="212" t="s">
        <v>102</v>
      </c>
      <c r="B3" s="219" t="s">
        <v>3</v>
      </c>
      <c r="C3" s="220" t="s">
        <v>4</v>
      </c>
      <c r="D3" s="220"/>
      <c r="E3" s="220"/>
      <c r="F3" s="220"/>
      <c r="G3" s="220" t="s">
        <v>5</v>
      </c>
      <c r="H3" s="220"/>
      <c r="I3" s="220"/>
      <c r="J3" s="220"/>
    </row>
    <row r="4" spans="1:10" s="97" customFormat="1" ht="51">
      <c r="A4" s="225"/>
      <c r="B4" s="224" t="s">
        <v>6</v>
      </c>
      <c r="C4" s="162" t="s">
        <v>6</v>
      </c>
      <c r="D4" s="162" t="str">
        <f>'Produkt- &amp; Fertigungstabelle'!$B$4</f>
        <v>Eingriffe Bauch/ Hernien</v>
      </c>
      <c r="E4" s="162" t="str">
        <f>'Produkt- &amp; Fertigungstabelle'!$B$5</f>
        <v>Eingriffe Harn-/Geschlechts-organe</v>
      </c>
      <c r="F4" s="162" t="str">
        <f>'Produkt- &amp; Fertigungstabelle'!$B$6</f>
        <v>Eingriffe Haut/Sehnen/Nerven/ Gefässe</v>
      </c>
      <c r="G4" s="162" t="s">
        <v>7</v>
      </c>
      <c r="H4" s="162" t="str">
        <f>'Produkt- &amp; Fertigungstabelle'!$B$7</f>
        <v>Eingriffe Knochen/ Gelenke</v>
      </c>
      <c r="I4" s="162" t="str">
        <f>'Produkt- &amp; Fertigungstabelle'!$B$8</f>
        <v>Eingriffe Brust/Wirbel-säule</v>
      </c>
      <c r="J4" s="162" t="str">
        <f>'Produkt- &amp; Fertigungstabelle'!$B$9</f>
        <v>Eingriffe Kopf/Hals</v>
      </c>
    </row>
    <row r="5" spans="1:10" s="168" customFormat="1" ht="12.75">
      <c r="A5" s="210" t="s">
        <v>11</v>
      </c>
      <c r="B5" s="198"/>
      <c r="C5" s="198"/>
      <c r="D5" s="198">
        <f>'Absatzplanung (gesamt)'!D9</f>
        <v>500</v>
      </c>
      <c r="E5" s="198">
        <f>'Absatzplanung (gesamt)'!E9</f>
        <v>900</v>
      </c>
      <c r="F5" s="198">
        <f>'Absatzplanung (gesamt)'!F9</f>
        <v>800</v>
      </c>
      <c r="G5" s="198"/>
      <c r="H5" s="198">
        <f>'Absatzplanung (gesamt)'!H9</f>
        <v>360</v>
      </c>
      <c r="I5" s="198">
        <f>'Absatzplanung (gesamt)'!I9</f>
        <v>400</v>
      </c>
      <c r="J5" s="198">
        <f>'Absatzplanung (gesamt)'!J9</f>
        <v>500</v>
      </c>
    </row>
    <row r="6" spans="1:10" s="198" customFormat="1" ht="12.75">
      <c r="A6" s="210" t="s">
        <v>112</v>
      </c>
      <c r="C6" s="199"/>
      <c r="D6" s="199">
        <f>'Absatzplanung (gesamt)'!D14</f>
        <v>3100</v>
      </c>
      <c r="E6" s="199">
        <f>'Absatzplanung (gesamt)'!E14</f>
        <v>2740</v>
      </c>
      <c r="F6" s="199">
        <f>'Absatzplanung (gesamt)'!F14</f>
        <v>2090</v>
      </c>
      <c r="G6" s="199"/>
      <c r="H6" s="199">
        <f>'Absatzplanung (gesamt)'!H14</f>
        <v>3540</v>
      </c>
      <c r="I6" s="199">
        <f>'Absatzplanung (gesamt)'!I14</f>
        <v>3100</v>
      </c>
      <c r="J6" s="199">
        <f>'Absatzplanung (gesamt)'!J14</f>
        <v>3280</v>
      </c>
    </row>
    <row r="7" spans="1:10" s="198" customFormat="1" ht="12.75">
      <c r="A7" s="214" t="s">
        <v>13</v>
      </c>
      <c r="B7" s="200">
        <f>SUM(C7,G7)</f>
        <v>9842400</v>
      </c>
      <c r="C7" s="200">
        <f>SUM(D7:F7)</f>
        <v>5688000</v>
      </c>
      <c r="D7" s="200">
        <f>D6*D5</f>
        <v>1550000</v>
      </c>
      <c r="E7" s="200">
        <f aca="true" t="shared" si="0" ref="E7:J7">E6*E5</f>
        <v>2466000</v>
      </c>
      <c r="F7" s="200">
        <f t="shared" si="0"/>
        <v>1672000</v>
      </c>
      <c r="G7" s="200">
        <f>SUM(H7:J7)</f>
        <v>4154400</v>
      </c>
      <c r="H7" s="200">
        <f t="shared" si="0"/>
        <v>1274400</v>
      </c>
      <c r="I7" s="200">
        <f t="shared" si="0"/>
        <v>1240000</v>
      </c>
      <c r="J7" s="200">
        <f t="shared" si="0"/>
        <v>1640000</v>
      </c>
    </row>
    <row r="8" spans="1:10" ht="6" customHeight="1">
      <c r="A8" s="215"/>
      <c r="B8" s="201"/>
      <c r="C8" s="36"/>
      <c r="D8" s="36"/>
      <c r="E8" s="36"/>
      <c r="F8" s="36"/>
      <c r="G8" s="36"/>
      <c r="H8" s="36"/>
      <c r="I8" s="36"/>
      <c r="J8" s="36"/>
    </row>
    <row r="9" spans="1:10" s="198" customFormat="1" ht="12.75">
      <c r="A9" s="210" t="s">
        <v>223</v>
      </c>
      <c r="C9" s="202"/>
      <c r="D9" s="203">
        <f>-D10/D5</f>
        <v>1259.256349637761</v>
      </c>
      <c r="E9" s="203">
        <f>-E10/E5</f>
        <v>1093.971849994278</v>
      </c>
      <c r="F9" s="203">
        <f>-F10/F5</f>
        <v>902.2499928476484</v>
      </c>
      <c r="G9" s="202"/>
      <c r="H9" s="203">
        <f>-H10/H5</f>
        <v>1115.5103389994629</v>
      </c>
      <c r="I9" s="203">
        <f>-I10/I5</f>
        <v>1107.3189244623632</v>
      </c>
      <c r="J9" s="203">
        <f>-J10/J5</f>
        <v>1121.5917481667973</v>
      </c>
    </row>
    <row r="10" spans="1:10" s="204" customFormat="1" ht="12.75">
      <c r="A10" s="216" t="s">
        <v>114</v>
      </c>
      <c r="B10" s="205">
        <f>C10+G10</f>
        <v>-3741310</v>
      </c>
      <c r="C10" s="205">
        <f>SUM(D10:F10)</f>
        <v>-2336002.8340918496</v>
      </c>
      <c r="D10" s="204">
        <f>-(Kostenträgerrechnung!D7+'Absatzplanung (gesamt)'!D29+'Absatzplanung (gesamt)'!D32)</f>
        <v>-629628.1748188805</v>
      </c>
      <c r="E10" s="204">
        <f>-(Kostenträgerrechnung!E7+'Absatzplanung (gesamt)'!E29+'Absatzplanung (gesamt)'!E32)</f>
        <v>-984574.6649948503</v>
      </c>
      <c r="F10" s="204">
        <f>-(Kostenträgerrechnung!F7+'Absatzplanung (gesamt)'!F29+'Absatzplanung (gesamt)'!F32)</f>
        <v>-721799.9942781187</v>
      </c>
      <c r="G10" s="205">
        <f>SUM(H10:J10)</f>
        <v>-1405307.1659081506</v>
      </c>
      <c r="H10" s="204">
        <f>-(Kostenträgerrechnung!H7+'Absatzplanung (gesamt)'!H29+'Absatzplanung (gesamt)'!H32)</f>
        <v>-401583.72203980666</v>
      </c>
      <c r="I10" s="204">
        <f>-(Kostenträgerrechnung!I7+'Absatzplanung (gesamt)'!I29+'Absatzplanung (gesamt)'!I32)</f>
        <v>-442927.5697849453</v>
      </c>
      <c r="J10" s="204">
        <f>-(Kostenträgerrechnung!J7+'Absatzplanung (gesamt)'!J29+'Absatzplanung (gesamt)'!J32)</f>
        <v>-560795.8740833986</v>
      </c>
    </row>
    <row r="11" spans="1:10" s="198" customFormat="1" ht="12.75">
      <c r="A11" s="214" t="s">
        <v>115</v>
      </c>
      <c r="B11" s="200">
        <f aca="true" t="shared" si="1" ref="B11:J11">B7+B10</f>
        <v>6101090</v>
      </c>
      <c r="C11" s="200">
        <f t="shared" si="1"/>
        <v>3351997.1659081504</v>
      </c>
      <c r="D11" s="200">
        <f t="shared" si="1"/>
        <v>920371.8251811195</v>
      </c>
      <c r="E11" s="200">
        <f t="shared" si="1"/>
        <v>1481425.3350051497</v>
      </c>
      <c r="F11" s="200">
        <f t="shared" si="1"/>
        <v>950200.0057218813</v>
      </c>
      <c r="G11" s="200">
        <f t="shared" si="1"/>
        <v>2749092.8340918496</v>
      </c>
      <c r="H11" s="200">
        <f t="shared" si="1"/>
        <v>872816.2779601933</v>
      </c>
      <c r="I11" s="200">
        <f t="shared" si="1"/>
        <v>797072.4302150547</v>
      </c>
      <c r="J11" s="200">
        <f t="shared" si="1"/>
        <v>1079204.1259166014</v>
      </c>
    </row>
    <row r="12" spans="1:2" s="1" customFormat="1" ht="6" customHeight="1">
      <c r="A12" s="217"/>
      <c r="B12" s="168"/>
    </row>
    <row r="13" s="198" customFormat="1" ht="12.75">
      <c r="A13" s="210" t="s">
        <v>116</v>
      </c>
    </row>
    <row r="14" spans="1:3" s="198" customFormat="1" ht="12.75">
      <c r="A14" s="210" t="s">
        <v>117</v>
      </c>
      <c r="B14" s="198">
        <f>C14+G14</f>
        <v>-1091320</v>
      </c>
      <c r="C14" s="198">
        <f>-'KS 450 Chirurgie'!F25</f>
        <v>-1091320</v>
      </c>
    </row>
    <row r="15" spans="1:7" s="198" customFormat="1" ht="12.75">
      <c r="A15" s="210" t="s">
        <v>118</v>
      </c>
      <c r="B15" s="198">
        <f>C15+G15</f>
        <v>-311387.5</v>
      </c>
      <c r="G15" s="198">
        <f>-'KS 451 Orthopädie'!F25</f>
        <v>-311387.5</v>
      </c>
    </row>
    <row r="16" spans="1:10" s="198" customFormat="1" ht="12.75">
      <c r="A16" s="214" t="s">
        <v>119</v>
      </c>
      <c r="B16" s="200">
        <f>B11+SUM(B14:B15)</f>
        <v>4698382.5</v>
      </c>
      <c r="C16" s="200">
        <f>C11+SUM(C14:C15)</f>
        <v>2260677.1659081504</v>
      </c>
      <c r="D16" s="200"/>
      <c r="E16" s="200"/>
      <c r="F16" s="200"/>
      <c r="G16" s="200">
        <f>G11+SUM(G14:G15)</f>
        <v>2437705.3340918496</v>
      </c>
      <c r="H16" s="200"/>
      <c r="I16" s="200"/>
      <c r="J16" s="200"/>
    </row>
    <row r="17" spans="1:10" s="198" customFormat="1" ht="6" customHeight="1">
      <c r="A17" s="217"/>
      <c r="B17" s="168"/>
      <c r="C17" s="223"/>
      <c r="D17" s="223"/>
      <c r="E17" s="223"/>
      <c r="F17" s="223"/>
      <c r="G17" s="223"/>
      <c r="H17" s="223"/>
      <c r="I17" s="223"/>
      <c r="J17" s="223"/>
    </row>
    <row r="18" ht="12.75">
      <c r="A18" s="210" t="s">
        <v>120</v>
      </c>
    </row>
    <row r="19" spans="1:10" ht="12.75">
      <c r="A19" s="210" t="s">
        <v>121</v>
      </c>
      <c r="B19" s="198">
        <f>-'KS 240 Radiologie'!F21</f>
        <v>-271240</v>
      </c>
      <c r="C19" s="1"/>
      <c r="D19" s="1"/>
      <c r="E19" s="1"/>
      <c r="F19" s="1"/>
      <c r="G19" s="1"/>
      <c r="H19" s="1"/>
      <c r="I19" s="1"/>
      <c r="J19" s="1"/>
    </row>
    <row r="20" spans="1:10" ht="12.75">
      <c r="A20" s="214" t="s">
        <v>122</v>
      </c>
      <c r="B20" s="200">
        <f>B16+B19</f>
        <v>4427142.5</v>
      </c>
      <c r="C20" s="1"/>
      <c r="D20" s="1"/>
      <c r="E20" s="1"/>
      <c r="F20" s="1"/>
      <c r="G20" s="1"/>
      <c r="H20" s="1"/>
      <c r="I20" s="1"/>
      <c r="J20" s="1"/>
    </row>
    <row r="21" spans="1:10" ht="6" customHeight="1">
      <c r="A21" s="226"/>
      <c r="B21" s="205"/>
      <c r="C21" s="1"/>
      <c r="D21" s="1"/>
      <c r="E21" s="1"/>
      <c r="F21" s="1"/>
      <c r="G21" s="1"/>
      <c r="H21" s="1"/>
      <c r="I21" s="1"/>
      <c r="J21" s="1"/>
    </row>
    <row r="22" ht="12.75">
      <c r="A22" s="210" t="s">
        <v>123</v>
      </c>
    </row>
    <row r="23" spans="1:10" ht="12.75">
      <c r="A23" s="210" t="s">
        <v>124</v>
      </c>
      <c r="B23" s="198">
        <f>-'KS 100 U&amp;R'!F27</f>
        <v>-58250</v>
      </c>
      <c r="C23" s="1"/>
      <c r="D23" s="1"/>
      <c r="E23" s="1"/>
      <c r="F23" s="1"/>
      <c r="G23" s="1"/>
      <c r="H23" s="1"/>
      <c r="I23" s="1"/>
      <c r="J23" s="1"/>
    </row>
    <row r="24" spans="1:10" ht="12.75">
      <c r="A24" s="210" t="s">
        <v>125</v>
      </c>
      <c r="B24" s="198">
        <f>-'Administrative Kostenstellen'!$D$20</f>
        <v>-422500</v>
      </c>
      <c r="C24" s="1"/>
      <c r="D24" s="1"/>
      <c r="E24" s="1"/>
      <c r="F24" s="1"/>
      <c r="G24" s="1"/>
      <c r="H24" s="1"/>
      <c r="I24" s="1"/>
      <c r="J24" s="1"/>
    </row>
    <row r="25" spans="1:10" ht="12.75">
      <c r="A25" s="210" t="s">
        <v>126</v>
      </c>
      <c r="B25" s="198">
        <f>-'Administrative Kostenstellen'!$F$20</f>
        <v>-174470</v>
      </c>
      <c r="C25" s="1"/>
      <c r="D25" s="1"/>
      <c r="E25" s="1"/>
      <c r="F25" s="1"/>
      <c r="G25" s="1"/>
      <c r="H25" s="1"/>
      <c r="I25" s="1"/>
      <c r="J25" s="1"/>
    </row>
    <row r="26" spans="1:10" ht="12.75">
      <c r="A26" s="210" t="s">
        <v>127</v>
      </c>
      <c r="B26" s="198">
        <f>-'Administrative Kostenstellen'!$E$20</f>
        <v>-1300910</v>
      </c>
      <c r="C26" s="1"/>
      <c r="D26" s="1"/>
      <c r="E26" s="1"/>
      <c r="F26" s="1"/>
      <c r="G26" s="1"/>
      <c r="H26" s="1"/>
      <c r="I26" s="1"/>
      <c r="J26" s="1"/>
    </row>
    <row r="27" spans="1:10" ht="12.75">
      <c r="A27" s="214" t="s">
        <v>128</v>
      </c>
      <c r="B27" s="200">
        <f>B20+SUM(B23:B26)</f>
        <v>2471012.5</v>
      </c>
      <c r="C27" s="1"/>
      <c r="D27" s="1"/>
      <c r="E27" s="1"/>
      <c r="F27" s="1"/>
      <c r="G27" s="1"/>
      <c r="H27" s="1"/>
      <c r="I27" s="1"/>
      <c r="J27" s="1"/>
    </row>
    <row r="28" spans="1:10" ht="6" customHeight="1">
      <c r="A28" s="226"/>
      <c r="B28" s="205"/>
      <c r="C28" s="1"/>
      <c r="D28" s="1"/>
      <c r="E28" s="1"/>
      <c r="F28" s="1"/>
      <c r="G28" s="1"/>
      <c r="H28" s="1"/>
      <c r="I28" s="1"/>
      <c r="J28" s="1"/>
    </row>
    <row r="29" spans="1:10" ht="12.75">
      <c r="A29" s="215" t="s">
        <v>129</v>
      </c>
      <c r="B29" s="201"/>
      <c r="C29" s="1"/>
      <c r="D29" s="1"/>
      <c r="E29" s="1"/>
      <c r="F29" s="1"/>
      <c r="G29" s="1"/>
      <c r="H29" s="1"/>
      <c r="I29" s="1"/>
      <c r="J29" s="1"/>
    </row>
    <row r="30" spans="1:10" ht="12.75">
      <c r="A30" s="210" t="s">
        <v>130</v>
      </c>
      <c r="B30" s="198">
        <f>-'Anlagenspiegel &amp; Raumzuteilung'!$F$14</f>
        <v>-1960000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218" t="s">
        <v>131</v>
      </c>
      <c r="B31" s="206">
        <f>-'Anlagenspiegel &amp; Raumzuteilung'!$E$14</f>
        <v>-515000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227" t="s">
        <v>132</v>
      </c>
      <c r="B32" s="200">
        <f>B27+B30+B31</f>
        <v>-3987.5</v>
      </c>
      <c r="C32" s="1"/>
      <c r="D32" s="1"/>
      <c r="E32" s="1"/>
      <c r="F32" s="1"/>
      <c r="G32" s="1"/>
      <c r="H32" s="1"/>
      <c r="I32" s="1"/>
      <c r="J32" s="1"/>
    </row>
    <row r="33" ht="12.75">
      <c r="A33" s="210" t="s">
        <v>133</v>
      </c>
    </row>
    <row r="34" spans="1:10" ht="12.75" outlineLevel="2">
      <c r="A34" s="218"/>
      <c r="B34" s="206"/>
      <c r="C34" s="38"/>
      <c r="D34" s="38"/>
      <c r="E34" s="38"/>
      <c r="F34" s="38"/>
      <c r="G34" s="38"/>
      <c r="H34" s="38"/>
      <c r="I34" s="38"/>
      <c r="J34" s="38"/>
    </row>
    <row r="35" s="198" customFormat="1" ht="12.75">
      <c r="A35" s="210" t="s">
        <v>134</v>
      </c>
    </row>
    <row r="36" spans="1:10" s="198" customFormat="1" ht="12.75">
      <c r="A36" s="210" t="s">
        <v>214</v>
      </c>
      <c r="C36" s="207"/>
      <c r="D36" s="201">
        <f aca="true" t="shared" si="2" ref="D36:J36">D11/D5</f>
        <v>1840.743650362239</v>
      </c>
      <c r="E36" s="201">
        <f t="shared" si="2"/>
        <v>1646.028150005722</v>
      </c>
      <c r="F36" s="201">
        <f t="shared" si="2"/>
        <v>1187.7500071523516</v>
      </c>
      <c r="G36" s="201"/>
      <c r="H36" s="201">
        <f t="shared" si="2"/>
        <v>2424.489661000537</v>
      </c>
      <c r="I36" s="201">
        <f t="shared" si="2"/>
        <v>1992.6810755376366</v>
      </c>
      <c r="J36" s="201">
        <f t="shared" si="2"/>
        <v>2158.408251833203</v>
      </c>
    </row>
    <row r="37" spans="1:10" s="198" customFormat="1" ht="12.75">
      <c r="A37" s="218" t="s">
        <v>135</v>
      </c>
      <c r="B37" s="206"/>
      <c r="C37" s="208"/>
      <c r="D37" s="208">
        <f>D11/D7</f>
        <v>0.5937882743103997</v>
      </c>
      <c r="E37" s="208">
        <f>E11/E7</f>
        <v>0.6007402007320153</v>
      </c>
      <c r="F37" s="208">
        <f>F11/F7</f>
        <v>0.5683014388288764</v>
      </c>
      <c r="G37" s="208"/>
      <c r="H37" s="208">
        <f>H11/H7</f>
        <v>0.6848840850284003</v>
      </c>
      <c r="I37" s="208">
        <f>I11/I7</f>
        <v>0.6428003469476248</v>
      </c>
      <c r="J37" s="208">
        <f>J11/J7</f>
        <v>0.6580512962906107</v>
      </c>
    </row>
    <row r="38" ht="12.75" outlineLevel="2"/>
    <row r="39" ht="12.75" outlineLevel="2"/>
    <row r="40" ht="12.75" outlineLevel="2"/>
    <row r="41" ht="12.75" outlineLevel="2"/>
    <row r="42" ht="12.75" outlineLevel="2"/>
    <row r="43" ht="12.75" outlineLevel="2"/>
    <row r="44" ht="12.75" collapsed="1"/>
  </sheetData>
  <sheetProtection sheet="1" objects="1" scenarios="1"/>
  <printOptions horizontalCentered="1" verticalCentered="1"/>
  <pageMargins left="0.35433070866141736" right="0.2362204724409449" top="0.3937007874015748" bottom="1.83" header="0.5118110236220472" footer="0.5118110236220472"/>
  <pageSetup fitToHeight="1" fitToWidth="1" horizontalDpi="150" verticalDpi="150" orientation="landscape" paperSize="9" scale="91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CCFF"/>
  </sheetPr>
  <dimension ref="A1:J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28125" style="210" customWidth="1"/>
    <col min="2" max="10" width="13.8515625" style="29" customWidth="1"/>
    <col min="11" max="250" width="10.7109375" style="29" customWidth="1"/>
    <col min="251" max="16384" width="11.421875" style="29" customWidth="1"/>
  </cols>
  <sheetData>
    <row r="1" spans="1:4" ht="12.75">
      <c r="A1" s="210" t="s">
        <v>197</v>
      </c>
      <c r="C1" s="29" t="s">
        <v>1</v>
      </c>
      <c r="D1" s="36" t="s">
        <v>220</v>
      </c>
    </row>
    <row r="2" spans="1:2" ht="15.75">
      <c r="A2" s="211" t="s">
        <v>111</v>
      </c>
      <c r="B2" s="30"/>
    </row>
    <row r="3" spans="1:10" s="1" customFormat="1" ht="12.75">
      <c r="A3" s="212" t="s">
        <v>102</v>
      </c>
      <c r="B3" s="31" t="s">
        <v>3</v>
      </c>
      <c r="C3" s="32" t="s">
        <v>4</v>
      </c>
      <c r="D3" s="32"/>
      <c r="E3" s="32"/>
      <c r="F3" s="32"/>
      <c r="G3" s="32" t="s">
        <v>5</v>
      </c>
      <c r="H3" s="32"/>
      <c r="I3" s="32"/>
      <c r="J3" s="32"/>
    </row>
    <row r="4" spans="1:10" s="1" customFormat="1" ht="12.75">
      <c r="A4" s="213"/>
      <c r="B4" s="35" t="s">
        <v>136</v>
      </c>
      <c r="C4" s="34" t="s">
        <v>6</v>
      </c>
      <c r="D4" s="34" t="str">
        <f>'Produkt- &amp; Fertigungstabelle'!$B$4</f>
        <v>Eingriffe Bauch/ Hernien</v>
      </c>
      <c r="E4" s="34" t="str">
        <f>'Produkt- &amp; Fertigungstabelle'!$B$5</f>
        <v>Eingriffe Harn-/Geschlechts-organe</v>
      </c>
      <c r="F4" s="34" t="str">
        <f>'Produkt- &amp; Fertigungstabelle'!$B$6</f>
        <v>Eingriffe Haut/Sehnen/Nerven/ Gefässe</v>
      </c>
      <c r="G4" s="34" t="s">
        <v>7</v>
      </c>
      <c r="H4" s="34" t="str">
        <f>'Produkt- &amp; Fertigungstabelle'!$B$7</f>
        <v>Eingriffe Knochen/ Gelenke</v>
      </c>
      <c r="I4" s="34" t="str">
        <f>'Produkt- &amp; Fertigungstabelle'!$B$8</f>
        <v>Eingriffe Brust/Wirbel-säule</v>
      </c>
      <c r="J4" s="222" t="str">
        <f>'Produkt- &amp; Fertigungstabelle'!$B$9</f>
        <v>Eingriffe Kopf/Hals</v>
      </c>
    </row>
    <row r="5" spans="1:10" s="168" customFormat="1" ht="12.75">
      <c r="A5" s="210" t="s">
        <v>11</v>
      </c>
      <c r="B5" s="198"/>
      <c r="C5" s="198"/>
      <c r="D5" s="198">
        <f>'Absatzplanung (gesamt)'!D6</f>
        <v>400</v>
      </c>
      <c r="E5" s="198">
        <f>'Absatzplanung (gesamt)'!E6</f>
        <v>720</v>
      </c>
      <c r="F5" s="198">
        <f>'Absatzplanung (gesamt)'!F6</f>
        <v>640</v>
      </c>
      <c r="G5" s="198"/>
      <c r="H5" s="198">
        <f>'Absatzplanung (gesamt)'!H6</f>
        <v>290</v>
      </c>
      <c r="I5" s="198">
        <f>'Absatzplanung (gesamt)'!I6</f>
        <v>320</v>
      </c>
      <c r="J5" s="198">
        <f>'Absatzplanung (gesamt)'!J6</f>
        <v>400</v>
      </c>
    </row>
    <row r="6" spans="1:10" s="198" customFormat="1" ht="12.75">
      <c r="A6" s="210" t="s">
        <v>112</v>
      </c>
      <c r="C6" s="199"/>
      <c r="D6" s="199">
        <f>'Absatzplanung (gesamt)'!D11</f>
        <v>2740</v>
      </c>
      <c r="E6" s="199">
        <f>'Absatzplanung (gesamt)'!E11</f>
        <v>2420</v>
      </c>
      <c r="F6" s="199">
        <f>'Absatzplanung (gesamt)'!F11</f>
        <v>1850</v>
      </c>
      <c r="G6" s="199"/>
      <c r="H6" s="199">
        <f>'Absatzplanung (gesamt)'!H11</f>
        <v>3120</v>
      </c>
      <c r="I6" s="199">
        <f>'Absatzplanung (gesamt)'!I11</f>
        <v>2740</v>
      </c>
      <c r="J6" s="199">
        <f>'Absatzplanung (gesamt)'!J11</f>
        <v>2900</v>
      </c>
    </row>
    <row r="7" spans="1:10" s="198" customFormat="1" ht="12.75">
      <c r="A7" s="214" t="s">
        <v>13</v>
      </c>
      <c r="B7" s="200">
        <f>SUM(C7,G7)</f>
        <v>6964000</v>
      </c>
      <c r="C7" s="200">
        <f>SUM(D7:F7)</f>
        <v>4022400</v>
      </c>
      <c r="D7" s="200">
        <f>D6*D5</f>
        <v>1096000</v>
      </c>
      <c r="E7" s="200">
        <f aca="true" t="shared" si="0" ref="E7:J7">E6*E5</f>
        <v>1742400</v>
      </c>
      <c r="F7" s="200">
        <f t="shared" si="0"/>
        <v>1184000</v>
      </c>
      <c r="G7" s="200">
        <f>SUM(H7:J7)</f>
        <v>2941600</v>
      </c>
      <c r="H7" s="200">
        <f t="shared" si="0"/>
        <v>904800</v>
      </c>
      <c r="I7" s="200">
        <f t="shared" si="0"/>
        <v>876800</v>
      </c>
      <c r="J7" s="200">
        <f t="shared" si="0"/>
        <v>1160000</v>
      </c>
    </row>
    <row r="8" spans="1:10" s="198" customFormat="1" ht="6" customHeight="1">
      <c r="A8" s="215"/>
      <c r="B8" s="201"/>
      <c r="C8" s="201"/>
      <c r="D8" s="201"/>
      <c r="E8" s="201"/>
      <c r="F8" s="201"/>
      <c r="G8" s="201"/>
      <c r="H8" s="201"/>
      <c r="I8" s="201"/>
      <c r="J8" s="201"/>
    </row>
    <row r="9" spans="1:10" s="198" customFormat="1" ht="12.75">
      <c r="A9" s="210" t="s">
        <v>113</v>
      </c>
      <c r="C9" s="202"/>
      <c r="D9" s="203">
        <f>'Plan-FER (gesamt)'!D9</f>
        <v>1259.256349637761</v>
      </c>
      <c r="E9" s="203">
        <f>'Plan-FER (gesamt)'!E9</f>
        <v>1093.971849994278</v>
      </c>
      <c r="F9" s="203">
        <f>'Plan-FER (gesamt)'!F9</f>
        <v>902.2499928476484</v>
      </c>
      <c r="G9" s="202"/>
      <c r="H9" s="203">
        <f>'Plan-FER (gesamt)'!H9</f>
        <v>1115.5103389994629</v>
      </c>
      <c r="I9" s="203">
        <f>'Plan-FER (gesamt)'!I9</f>
        <v>1107.3189244623632</v>
      </c>
      <c r="J9" s="203">
        <f>'Plan-FER (gesamt)'!J9</f>
        <v>1121.5917481667973</v>
      </c>
    </row>
    <row r="10" spans="1:10" s="204" customFormat="1" ht="12.75">
      <c r="A10" s="216" t="s">
        <v>114</v>
      </c>
      <c r="B10" s="205">
        <f>C10+G10</f>
        <v>-2995279.0206779987</v>
      </c>
      <c r="C10" s="205">
        <f>SUM(D10:F10)</f>
        <v>-1868802.2672734796</v>
      </c>
      <c r="D10" s="204">
        <f>-D9*D5</f>
        <v>-503702.53985510446</v>
      </c>
      <c r="E10" s="204">
        <f>-E9*E5</f>
        <v>-787659.7319958801</v>
      </c>
      <c r="F10" s="204">
        <f>-F9*F5</f>
        <v>-577439.995422495</v>
      </c>
      <c r="G10" s="205">
        <f>SUM(H10:J10)</f>
        <v>-1126476.7534045193</v>
      </c>
      <c r="H10" s="204">
        <f>-H9*H5</f>
        <v>-323497.99830984423</v>
      </c>
      <c r="I10" s="204">
        <f>-I9*I5</f>
        <v>-354342.0558279562</v>
      </c>
      <c r="J10" s="204">
        <f>-J9*J5</f>
        <v>-448636.69926671893</v>
      </c>
    </row>
    <row r="11" spans="1:10" s="198" customFormat="1" ht="12.75">
      <c r="A11" s="214" t="s">
        <v>115</v>
      </c>
      <c r="B11" s="200">
        <f aca="true" t="shared" si="1" ref="B11:J11">B7+B10</f>
        <v>3968720.9793220013</v>
      </c>
      <c r="C11" s="200">
        <f t="shared" si="1"/>
        <v>2153597.7327265204</v>
      </c>
      <c r="D11" s="200">
        <f t="shared" si="1"/>
        <v>592297.4601448956</v>
      </c>
      <c r="E11" s="200">
        <f t="shared" si="1"/>
        <v>954740.2680041199</v>
      </c>
      <c r="F11" s="200">
        <f t="shared" si="1"/>
        <v>606560.004577505</v>
      </c>
      <c r="G11" s="200">
        <f t="shared" si="1"/>
        <v>1815123.2465954807</v>
      </c>
      <c r="H11" s="200">
        <f t="shared" si="1"/>
        <v>581302.0016901558</v>
      </c>
      <c r="I11" s="200">
        <f t="shared" si="1"/>
        <v>522457.9441720438</v>
      </c>
      <c r="J11" s="200">
        <f t="shared" si="1"/>
        <v>711363.3007332811</v>
      </c>
    </row>
    <row r="12" s="168" customFormat="1" ht="6" customHeight="1">
      <c r="A12" s="217"/>
    </row>
    <row r="13" spans="1:10" s="198" customFormat="1" ht="12.75">
      <c r="A13" s="218"/>
      <c r="B13" s="206"/>
      <c r="C13" s="206"/>
      <c r="D13" s="206"/>
      <c r="E13" s="206"/>
      <c r="F13" s="206"/>
      <c r="G13" s="206"/>
      <c r="H13" s="206"/>
      <c r="I13" s="206"/>
      <c r="J13" s="206"/>
    </row>
    <row r="14" s="198" customFormat="1" ht="12.75">
      <c r="A14" s="210" t="s">
        <v>134</v>
      </c>
    </row>
    <row r="15" spans="1:10" s="198" customFormat="1" ht="12.75">
      <c r="A15" s="210" t="s">
        <v>214</v>
      </c>
      <c r="C15" s="207"/>
      <c r="D15" s="201">
        <f aca="true" t="shared" si="2" ref="D15:J15">D11/D5</f>
        <v>1480.743650362239</v>
      </c>
      <c r="E15" s="201">
        <f t="shared" si="2"/>
        <v>1326.028150005722</v>
      </c>
      <c r="F15" s="201">
        <f t="shared" si="2"/>
        <v>947.7500071523516</v>
      </c>
      <c r="G15" s="201"/>
      <c r="H15" s="201">
        <f t="shared" si="2"/>
        <v>2004.4896610005374</v>
      </c>
      <c r="I15" s="201">
        <f t="shared" si="2"/>
        <v>1632.6810755376368</v>
      </c>
      <c r="J15" s="201">
        <f t="shared" si="2"/>
        <v>1778.4082518332027</v>
      </c>
    </row>
    <row r="16" spans="1:10" s="198" customFormat="1" ht="12.75">
      <c r="A16" s="218" t="s">
        <v>135</v>
      </c>
      <c r="B16" s="206"/>
      <c r="C16" s="208"/>
      <c r="D16" s="208">
        <f>D11/D7</f>
        <v>0.5404173906431529</v>
      </c>
      <c r="E16" s="208">
        <f>E11/E7</f>
        <v>0.5479455165312901</v>
      </c>
      <c r="F16" s="208">
        <f>F11/F7</f>
        <v>0.5122973011634333</v>
      </c>
      <c r="G16" s="208"/>
      <c r="H16" s="208">
        <f>H11/H7</f>
        <v>0.6424646349360696</v>
      </c>
      <c r="I16" s="208">
        <f>I11/I7</f>
        <v>0.5958690056706704</v>
      </c>
      <c r="J16" s="208">
        <f>J11/J7</f>
        <v>0.6132442247700699</v>
      </c>
    </row>
    <row r="17" s="198" customFormat="1" ht="12.75">
      <c r="A17" s="210"/>
    </row>
    <row r="18" s="198" customFormat="1" ht="12.75">
      <c r="A18" s="210"/>
    </row>
    <row r="19" spans="1:4" s="210" customFormat="1" ht="12.75">
      <c r="A19" s="210" t="s">
        <v>0</v>
      </c>
      <c r="C19" s="210" t="s">
        <v>1</v>
      </c>
      <c r="D19" s="36" t="s">
        <v>222</v>
      </c>
    </row>
    <row r="20" spans="1:2" s="198" customFormat="1" ht="15.75">
      <c r="A20" s="211" t="s">
        <v>111</v>
      </c>
      <c r="B20" s="209"/>
    </row>
    <row r="21" spans="1:10" s="217" customFormat="1" ht="12.75">
      <c r="A21" s="212" t="s">
        <v>102</v>
      </c>
      <c r="B21" s="219" t="s">
        <v>3</v>
      </c>
      <c r="C21" s="220" t="s">
        <v>4</v>
      </c>
      <c r="D21" s="220"/>
      <c r="E21" s="220"/>
      <c r="F21" s="220"/>
      <c r="G21" s="220" t="s">
        <v>5</v>
      </c>
      <c r="H21" s="220"/>
      <c r="I21" s="220"/>
      <c r="J21" s="220"/>
    </row>
    <row r="22" spans="1:10" s="217" customFormat="1" ht="12.75">
      <c r="A22" s="213"/>
      <c r="B22" s="221" t="s">
        <v>136</v>
      </c>
      <c r="C22" s="213" t="s">
        <v>6</v>
      </c>
      <c r="D22" s="213" t="str">
        <f>'Produkt- &amp; Fertigungstabelle'!$B$4</f>
        <v>Eingriffe Bauch/ Hernien</v>
      </c>
      <c r="E22" s="213" t="str">
        <f>'Produkt- &amp; Fertigungstabelle'!$B$5</f>
        <v>Eingriffe Harn-/Geschlechts-organe</v>
      </c>
      <c r="F22" s="213" t="str">
        <f>'Produkt- &amp; Fertigungstabelle'!$B$6</f>
        <v>Eingriffe Haut/Sehnen/Nerven/ Gefässe</v>
      </c>
      <c r="G22" s="213" t="s">
        <v>7</v>
      </c>
      <c r="H22" s="213" t="str">
        <f>'Produkt- &amp; Fertigungstabelle'!$B$7</f>
        <v>Eingriffe Knochen/ Gelenke</v>
      </c>
      <c r="I22" s="213" t="str">
        <f>'Produkt- &amp; Fertigungstabelle'!$B$8</f>
        <v>Eingriffe Brust/Wirbel-säule</v>
      </c>
      <c r="J22" s="213" t="str">
        <f>'Produkt- &amp; Fertigungstabelle'!$B$9</f>
        <v>Eingriffe Kopf/Hals</v>
      </c>
    </row>
    <row r="23" spans="1:10" s="168" customFormat="1" ht="12.75">
      <c r="A23" s="210" t="s">
        <v>11</v>
      </c>
      <c r="B23" s="198"/>
      <c r="C23" s="198"/>
      <c r="D23" s="198">
        <f>'Absatzplanung (gesamt)'!D7</f>
        <v>75</v>
      </c>
      <c r="E23" s="198">
        <f>'Absatzplanung (gesamt)'!E7</f>
        <v>135</v>
      </c>
      <c r="F23" s="198">
        <f>'Absatzplanung (gesamt)'!F7</f>
        <v>120</v>
      </c>
      <c r="G23" s="198"/>
      <c r="H23" s="198">
        <f>'Absatzplanung (gesamt)'!H7</f>
        <v>50</v>
      </c>
      <c r="I23" s="198">
        <f>'Absatzplanung (gesamt)'!I7</f>
        <v>60</v>
      </c>
      <c r="J23" s="198">
        <f>'Absatzplanung (gesamt)'!J7</f>
        <v>75</v>
      </c>
    </row>
    <row r="24" spans="1:10" s="198" customFormat="1" ht="12.75">
      <c r="A24" s="210" t="s">
        <v>112</v>
      </c>
      <c r="C24" s="199"/>
      <c r="D24" s="199">
        <f>'Absatzplanung (gesamt)'!D12</f>
        <v>4410</v>
      </c>
      <c r="E24" s="199">
        <f>'Absatzplanung (gesamt)'!E12</f>
        <v>3890</v>
      </c>
      <c r="F24" s="199">
        <f>'Absatzplanung (gesamt)'!F12</f>
        <v>2980</v>
      </c>
      <c r="G24" s="199"/>
      <c r="H24" s="199">
        <f>'Absatzplanung (gesamt)'!H12</f>
        <v>5030</v>
      </c>
      <c r="I24" s="199">
        <f>'Absatzplanung (gesamt)'!I12</f>
        <v>4410</v>
      </c>
      <c r="J24" s="199">
        <f>'Absatzplanung (gesamt)'!J12</f>
        <v>4660</v>
      </c>
    </row>
    <row r="25" spans="1:10" s="198" customFormat="1" ht="12.75">
      <c r="A25" s="214" t="s">
        <v>13</v>
      </c>
      <c r="B25" s="200">
        <f>SUM(C25,G25)</f>
        <v>2079100</v>
      </c>
      <c r="C25" s="200">
        <f>SUM(D25:F25)</f>
        <v>1213500</v>
      </c>
      <c r="D25" s="200">
        <f>D24*D23</f>
        <v>330750</v>
      </c>
      <c r="E25" s="200">
        <f aca="true" t="shared" si="3" ref="E25:J25">E24*E23</f>
        <v>525150</v>
      </c>
      <c r="F25" s="200">
        <f t="shared" si="3"/>
        <v>357600</v>
      </c>
      <c r="G25" s="200">
        <f>SUM(H25:J25)</f>
        <v>865600</v>
      </c>
      <c r="H25" s="200">
        <f t="shared" si="3"/>
        <v>251500</v>
      </c>
      <c r="I25" s="200">
        <f t="shared" si="3"/>
        <v>264600</v>
      </c>
      <c r="J25" s="200">
        <f t="shared" si="3"/>
        <v>349500</v>
      </c>
    </row>
    <row r="26" spans="1:10" s="198" customFormat="1" ht="6" customHeight="1">
      <c r="A26" s="215"/>
      <c r="B26" s="201"/>
      <c r="C26" s="201"/>
      <c r="D26" s="201"/>
      <c r="E26" s="201"/>
      <c r="F26" s="201"/>
      <c r="G26" s="201"/>
      <c r="H26" s="201"/>
      <c r="I26" s="201"/>
      <c r="J26" s="201"/>
    </row>
    <row r="27" spans="1:10" s="198" customFormat="1" ht="12.75">
      <c r="A27" s="210" t="s">
        <v>113</v>
      </c>
      <c r="C27" s="202"/>
      <c r="D27" s="203">
        <f>D$9</f>
        <v>1259.256349637761</v>
      </c>
      <c r="E27" s="203">
        <f>E$9</f>
        <v>1093.971849994278</v>
      </c>
      <c r="F27" s="203">
        <f>F$9</f>
        <v>902.2499928476484</v>
      </c>
      <c r="G27" s="202"/>
      <c r="H27" s="203">
        <f>H$9</f>
        <v>1115.5103389994629</v>
      </c>
      <c r="I27" s="203">
        <f>I$9</f>
        <v>1107.3189244623632</v>
      </c>
      <c r="J27" s="203">
        <f>J$9</f>
        <v>1121.5917481667973</v>
      </c>
    </row>
    <row r="28" spans="1:10" s="204" customFormat="1" ht="12.75">
      <c r="A28" s="216" t="s">
        <v>114</v>
      </c>
      <c r="B28" s="205">
        <f>C28+G28</f>
        <v>-556734.4586440021</v>
      </c>
      <c r="C28" s="205">
        <f>SUM(D28:F28)</f>
        <v>-350400.4251137774</v>
      </c>
      <c r="D28" s="204">
        <f>-D27*D23</f>
        <v>-94444.22622283208</v>
      </c>
      <c r="E28" s="204">
        <f>-E27*E23</f>
        <v>-147686.19974922753</v>
      </c>
      <c r="F28" s="204">
        <f>-F27*F23</f>
        <v>-108269.99914171781</v>
      </c>
      <c r="G28" s="205">
        <f>SUM(H28:J28)</f>
        <v>-206334.03353022473</v>
      </c>
      <c r="H28" s="204">
        <f>-H27*H23</f>
        <v>-55775.51694997314</v>
      </c>
      <c r="I28" s="204">
        <f>-I27*I23</f>
        <v>-66439.13546774178</v>
      </c>
      <c r="J28" s="204">
        <f>-J27*J23</f>
        <v>-84119.3811125098</v>
      </c>
    </row>
    <row r="29" spans="1:10" s="198" customFormat="1" ht="12.75">
      <c r="A29" s="214" t="s">
        <v>115</v>
      </c>
      <c r="B29" s="200">
        <f aca="true" t="shared" si="4" ref="B29:J29">B25+B28</f>
        <v>1522365.5413559978</v>
      </c>
      <c r="C29" s="200">
        <f t="shared" si="4"/>
        <v>863099.5748862226</v>
      </c>
      <c r="D29" s="200">
        <f t="shared" si="4"/>
        <v>236305.77377716792</v>
      </c>
      <c r="E29" s="200">
        <f t="shared" si="4"/>
        <v>377463.8002507725</v>
      </c>
      <c r="F29" s="200">
        <f t="shared" si="4"/>
        <v>249330.0008582822</v>
      </c>
      <c r="G29" s="200">
        <f t="shared" si="4"/>
        <v>659265.9664697753</v>
      </c>
      <c r="H29" s="200">
        <f t="shared" si="4"/>
        <v>195724.48305002687</v>
      </c>
      <c r="I29" s="200">
        <f t="shared" si="4"/>
        <v>198160.86453225822</v>
      </c>
      <c r="J29" s="200">
        <f t="shared" si="4"/>
        <v>265380.6188874902</v>
      </c>
    </row>
    <row r="30" s="168" customFormat="1" ht="6" customHeight="1">
      <c r="A30" s="217"/>
    </row>
    <row r="31" spans="1:10" s="198" customFormat="1" ht="12.75">
      <c r="A31" s="218"/>
      <c r="B31" s="206"/>
      <c r="C31" s="206"/>
      <c r="D31" s="206"/>
      <c r="E31" s="206"/>
      <c r="F31" s="206"/>
      <c r="G31" s="206"/>
      <c r="H31" s="206"/>
      <c r="I31" s="206"/>
      <c r="J31" s="206"/>
    </row>
    <row r="32" s="198" customFormat="1" ht="12.75">
      <c r="A32" s="210" t="s">
        <v>134</v>
      </c>
    </row>
    <row r="33" spans="1:10" s="198" customFormat="1" ht="12.75">
      <c r="A33" s="210" t="s">
        <v>214</v>
      </c>
      <c r="C33" s="207"/>
      <c r="D33" s="201">
        <f aca="true" t="shared" si="5" ref="D33:J33">D29/D23</f>
        <v>3150.743650362239</v>
      </c>
      <c r="E33" s="201">
        <f t="shared" si="5"/>
        <v>2796.028150005722</v>
      </c>
      <c r="F33" s="201">
        <f t="shared" si="5"/>
        <v>2077.750007152352</v>
      </c>
      <c r="G33" s="201"/>
      <c r="H33" s="201">
        <f t="shared" si="5"/>
        <v>3914.4896610005376</v>
      </c>
      <c r="I33" s="201">
        <f t="shared" si="5"/>
        <v>3302.681075537637</v>
      </c>
      <c r="J33" s="201">
        <f t="shared" si="5"/>
        <v>3538.4082518332025</v>
      </c>
    </row>
    <row r="34" spans="1:10" s="198" customFormat="1" ht="12.75">
      <c r="A34" s="218" t="s">
        <v>135</v>
      </c>
      <c r="B34" s="206"/>
      <c r="C34" s="208"/>
      <c r="D34" s="208">
        <f>D29/D25</f>
        <v>0.7144543424857684</v>
      </c>
      <c r="E34" s="208">
        <f>E29/E25</f>
        <v>0.7187733033433733</v>
      </c>
      <c r="F34" s="208">
        <f>F29/F25</f>
        <v>0.6972315460242791</v>
      </c>
      <c r="G34" s="208"/>
      <c r="H34" s="208">
        <f>H29/H25</f>
        <v>0.778228560835097</v>
      </c>
      <c r="I34" s="208">
        <f>I29/I25</f>
        <v>0.7489072733645435</v>
      </c>
      <c r="J34" s="208">
        <f>J29/J25</f>
        <v>0.7593150755006872</v>
      </c>
    </row>
    <row r="35" s="198" customFormat="1" ht="12.75">
      <c r="A35" s="210"/>
    </row>
    <row r="36" s="198" customFormat="1" ht="12.75">
      <c r="A36" s="210"/>
    </row>
    <row r="37" spans="1:4" s="210" customFormat="1" ht="12.75">
      <c r="A37" s="210" t="s">
        <v>0</v>
      </c>
      <c r="C37" s="210" t="s">
        <v>1</v>
      </c>
      <c r="D37" s="36" t="s">
        <v>221</v>
      </c>
    </row>
    <row r="38" spans="1:2" s="210" customFormat="1" ht="15.75">
      <c r="A38" s="211" t="s">
        <v>111</v>
      </c>
      <c r="B38" s="211"/>
    </row>
    <row r="39" spans="1:10" s="217" customFormat="1" ht="12.75">
      <c r="A39" s="212" t="s">
        <v>102</v>
      </c>
      <c r="B39" s="219" t="s">
        <v>3</v>
      </c>
      <c r="C39" s="220" t="s">
        <v>4</v>
      </c>
      <c r="D39" s="220"/>
      <c r="E39" s="220"/>
      <c r="F39" s="220"/>
      <c r="G39" s="220" t="s">
        <v>5</v>
      </c>
      <c r="H39" s="220"/>
      <c r="I39" s="220"/>
      <c r="J39" s="220"/>
    </row>
    <row r="40" spans="1:10" s="217" customFormat="1" ht="12.75">
      <c r="A40" s="213"/>
      <c r="B40" s="221" t="s">
        <v>136</v>
      </c>
      <c r="C40" s="213" t="s">
        <v>6</v>
      </c>
      <c r="D40" s="213" t="str">
        <f>'Produkt- &amp; Fertigungstabelle'!$B$4</f>
        <v>Eingriffe Bauch/ Hernien</v>
      </c>
      <c r="E40" s="213" t="str">
        <f>'Produkt- &amp; Fertigungstabelle'!$B$5</f>
        <v>Eingriffe Harn-/Geschlechts-organe</v>
      </c>
      <c r="F40" s="213" t="str">
        <f>'Produkt- &amp; Fertigungstabelle'!$B$6</f>
        <v>Eingriffe Haut/Sehnen/Nerven/ Gefässe</v>
      </c>
      <c r="G40" s="213" t="s">
        <v>7</v>
      </c>
      <c r="H40" s="213" t="str">
        <f>'Produkt- &amp; Fertigungstabelle'!$B$7</f>
        <v>Eingriffe Knochen/ Gelenke</v>
      </c>
      <c r="I40" s="213" t="str">
        <f>'Produkt- &amp; Fertigungstabelle'!$B$8</f>
        <v>Eingriffe Brust/Wirbel-säule</v>
      </c>
      <c r="J40" s="213" t="str">
        <f>'Produkt- &amp; Fertigungstabelle'!$B$9</f>
        <v>Eingriffe Kopf/Hals</v>
      </c>
    </row>
    <row r="41" spans="1:10" s="168" customFormat="1" ht="12.75">
      <c r="A41" s="210" t="s">
        <v>11</v>
      </c>
      <c r="B41" s="198"/>
      <c r="C41" s="198"/>
      <c r="D41" s="198">
        <f>'Absatzplanung (gesamt)'!D8</f>
        <v>25</v>
      </c>
      <c r="E41" s="198">
        <f>'Absatzplanung (gesamt)'!E8</f>
        <v>45</v>
      </c>
      <c r="F41" s="198">
        <f>'Absatzplanung (gesamt)'!F8</f>
        <v>40</v>
      </c>
      <c r="G41" s="198"/>
      <c r="H41" s="198">
        <f>'Absatzplanung (gesamt)'!H8</f>
        <v>20</v>
      </c>
      <c r="I41" s="198">
        <f>'Absatzplanung (gesamt)'!I8</f>
        <v>20</v>
      </c>
      <c r="J41" s="198">
        <f>'Absatzplanung (gesamt)'!J8</f>
        <v>25</v>
      </c>
    </row>
    <row r="42" spans="1:10" s="198" customFormat="1" ht="12.75">
      <c r="A42" s="210" t="s">
        <v>112</v>
      </c>
      <c r="C42" s="199"/>
      <c r="D42" s="199">
        <f>'Absatzplanung (gesamt)'!D13</f>
        <v>4930</v>
      </c>
      <c r="E42" s="199">
        <f>'Absatzplanung (gesamt)'!E13</f>
        <v>4410</v>
      </c>
      <c r="F42" s="199">
        <f>'Absatzplanung (gesamt)'!F13</f>
        <v>3260</v>
      </c>
      <c r="G42" s="199"/>
      <c r="H42" s="199">
        <f>'Absatzplanung (gesamt)'!H13</f>
        <v>5905</v>
      </c>
      <c r="I42" s="199">
        <f>'Absatzplanung (gesamt)'!I13</f>
        <v>4930</v>
      </c>
      <c r="J42" s="199">
        <f>'Absatzplanung (gesamt)'!J13</f>
        <v>5220</v>
      </c>
    </row>
    <row r="43" spans="1:10" s="198" customFormat="1" ht="12.75">
      <c r="A43" s="214" t="s">
        <v>13</v>
      </c>
      <c r="B43" s="200">
        <f>SUM(C43,G43)</f>
        <v>799300</v>
      </c>
      <c r="C43" s="200">
        <f>SUM(D43:F43)</f>
        <v>452100</v>
      </c>
      <c r="D43" s="200">
        <f>D42*D41</f>
        <v>123250</v>
      </c>
      <c r="E43" s="200">
        <f aca="true" t="shared" si="6" ref="E43:J43">E42*E41</f>
        <v>198450</v>
      </c>
      <c r="F43" s="200">
        <f t="shared" si="6"/>
        <v>130400</v>
      </c>
      <c r="G43" s="200">
        <f>SUM(H43:J43)</f>
        <v>347200</v>
      </c>
      <c r="H43" s="200">
        <f t="shared" si="6"/>
        <v>118100</v>
      </c>
      <c r="I43" s="200">
        <f t="shared" si="6"/>
        <v>98600</v>
      </c>
      <c r="J43" s="200">
        <f t="shared" si="6"/>
        <v>130500</v>
      </c>
    </row>
    <row r="44" spans="1:10" s="198" customFormat="1" ht="6" customHeight="1">
      <c r="A44" s="215"/>
      <c r="B44" s="201"/>
      <c r="C44" s="201"/>
      <c r="D44" s="201"/>
      <c r="E44" s="201"/>
      <c r="F44" s="201"/>
      <c r="G44" s="201"/>
      <c r="H44" s="201"/>
      <c r="I44" s="201"/>
      <c r="J44" s="201"/>
    </row>
    <row r="45" spans="1:10" s="198" customFormat="1" ht="12.75">
      <c r="A45" s="210" t="s">
        <v>113</v>
      </c>
      <c r="C45" s="202"/>
      <c r="D45" s="203">
        <f>D$9</f>
        <v>1259.256349637761</v>
      </c>
      <c r="E45" s="203">
        <f>E$9</f>
        <v>1093.971849994278</v>
      </c>
      <c r="F45" s="203">
        <f>F$9</f>
        <v>902.2499928476484</v>
      </c>
      <c r="G45" s="202"/>
      <c r="H45" s="203">
        <f>H$9</f>
        <v>1115.5103389994629</v>
      </c>
      <c r="I45" s="203">
        <f>I$9</f>
        <v>1107.3189244623632</v>
      </c>
      <c r="J45" s="203">
        <f>J$9</f>
        <v>1121.5917481667973</v>
      </c>
    </row>
    <row r="46" spans="1:10" s="204" customFormat="1" ht="12.75">
      <c r="A46" s="216" t="s">
        <v>114</v>
      </c>
      <c r="B46" s="205">
        <f>C46+G46</f>
        <v>-189296.52067799892</v>
      </c>
      <c r="C46" s="205">
        <f>SUM(D46:F46)</f>
        <v>-116800.14170459248</v>
      </c>
      <c r="D46" s="204">
        <f>-D45*D41</f>
        <v>-31481.40874094403</v>
      </c>
      <c r="E46" s="204">
        <f>-E45*E41</f>
        <v>-49228.73324974251</v>
      </c>
      <c r="F46" s="204">
        <f>-F45*F41</f>
        <v>-36089.999713905934</v>
      </c>
      <c r="G46" s="205">
        <f>SUM(H46:J46)</f>
        <v>-72496.37897340645</v>
      </c>
      <c r="H46" s="204">
        <f>-H45*H41</f>
        <v>-22310.206779989257</v>
      </c>
      <c r="I46" s="204">
        <f>-I45*I41</f>
        <v>-22146.37848924726</v>
      </c>
      <c r="J46" s="204">
        <f>-J45*J41</f>
        <v>-28039.793704169933</v>
      </c>
    </row>
    <row r="47" spans="1:10" s="198" customFormat="1" ht="12.75">
      <c r="A47" s="214" t="s">
        <v>115</v>
      </c>
      <c r="B47" s="200">
        <f aca="true" t="shared" si="7" ref="B47:J47">B43+B46</f>
        <v>610003.4793220011</v>
      </c>
      <c r="C47" s="200">
        <f t="shared" si="7"/>
        <v>335299.8582954075</v>
      </c>
      <c r="D47" s="200">
        <f t="shared" si="7"/>
        <v>91768.59125905597</v>
      </c>
      <c r="E47" s="200">
        <f t="shared" si="7"/>
        <v>149221.2667502575</v>
      </c>
      <c r="F47" s="200">
        <f t="shared" si="7"/>
        <v>94310.00028609406</v>
      </c>
      <c r="G47" s="200">
        <f t="shared" si="7"/>
        <v>274703.62102659355</v>
      </c>
      <c r="H47" s="200">
        <f t="shared" si="7"/>
        <v>95789.79322001075</v>
      </c>
      <c r="I47" s="200">
        <f t="shared" si="7"/>
        <v>76453.62151075274</v>
      </c>
      <c r="J47" s="200">
        <f t="shared" si="7"/>
        <v>102460.20629583007</v>
      </c>
    </row>
    <row r="48" s="168" customFormat="1" ht="6" customHeight="1">
      <c r="A48" s="217"/>
    </row>
    <row r="49" spans="1:10" s="198" customFormat="1" ht="12.75">
      <c r="A49" s="218"/>
      <c r="B49" s="206"/>
      <c r="C49" s="206"/>
      <c r="D49" s="206"/>
      <c r="E49" s="206"/>
      <c r="F49" s="206"/>
      <c r="G49" s="206"/>
      <c r="H49" s="206"/>
      <c r="I49" s="206"/>
      <c r="J49" s="206"/>
    </row>
    <row r="50" s="198" customFormat="1" ht="12.75">
      <c r="A50" s="210" t="s">
        <v>134</v>
      </c>
    </row>
    <row r="51" spans="1:10" s="198" customFormat="1" ht="12.75">
      <c r="A51" s="210" t="s">
        <v>214</v>
      </c>
      <c r="C51" s="207"/>
      <c r="D51" s="201">
        <f aca="true" t="shared" si="8" ref="D51:J51">D47/D41</f>
        <v>3670.743650362239</v>
      </c>
      <c r="E51" s="201">
        <f t="shared" si="8"/>
        <v>3316.028150005722</v>
      </c>
      <c r="F51" s="201">
        <f t="shared" si="8"/>
        <v>2357.7500071523514</v>
      </c>
      <c r="G51" s="201"/>
      <c r="H51" s="201">
        <f t="shared" si="8"/>
        <v>4789.489661000537</v>
      </c>
      <c r="I51" s="201">
        <f t="shared" si="8"/>
        <v>3822.681075537637</v>
      </c>
      <c r="J51" s="201">
        <f t="shared" si="8"/>
        <v>4098.4082518332025</v>
      </c>
    </row>
    <row r="52" spans="1:10" s="198" customFormat="1" ht="12.75">
      <c r="A52" s="218" t="s">
        <v>135</v>
      </c>
      <c r="B52" s="206"/>
      <c r="C52" s="208"/>
      <c r="D52" s="208">
        <f>D47/D43</f>
        <v>0.7445727485521783</v>
      </c>
      <c r="E52" s="208">
        <f>E47/E43</f>
        <v>0.7519338208629756</v>
      </c>
      <c r="F52" s="208">
        <f>F47/F43</f>
        <v>0.7232361985129913</v>
      </c>
      <c r="G52" s="208"/>
      <c r="H52" s="208">
        <f>H47/H43</f>
        <v>0.8110905437765517</v>
      </c>
      <c r="I52" s="208">
        <f>I47/I43</f>
        <v>0.7753916988920156</v>
      </c>
      <c r="J52" s="208">
        <f>J47/J43</f>
        <v>0.7851356804278166</v>
      </c>
    </row>
    <row r="53" s="198" customFormat="1" ht="12.75">
      <c r="A53" s="210"/>
    </row>
  </sheetData>
  <sheetProtection sheet="1" objects="1" scenarios="1"/>
  <printOptions horizontalCentered="1" verticalCentered="1"/>
  <pageMargins left="0.4724409448818898" right="0.2362204724409449" top="0.58" bottom="0.79" header="0.3937007874015748" footer="0.2"/>
  <pageSetup horizontalDpi="300" verticalDpi="300" orientation="landscape" paperSize="9" scale="76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G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13.28125" style="1" customWidth="1"/>
    <col min="3" max="3" width="18.28125" style="1" customWidth="1"/>
    <col min="4" max="4" width="17.140625" style="1" customWidth="1"/>
    <col min="5" max="5" width="13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ht="12.75"/>
    <row r="2" ht="12.75"/>
    <row r="3" spans="1:4" ht="20.25">
      <c r="A3" s="153" t="str">
        <f>"Fallkosten-Vorkalkulation "&amp;C10</f>
        <v>Fallkosten-Vorkalkulation Eingriffe Bauch/ Hernien</v>
      </c>
      <c r="D3" s="153"/>
    </row>
    <row r="5" s="154" customFormat="1" ht="15.75">
      <c r="G5" s="155"/>
    </row>
    <row r="6" spans="1:7" ht="15.75">
      <c r="A6"/>
      <c r="G6" s="155" t="s">
        <v>160</v>
      </c>
    </row>
    <row r="7" ht="15.75">
      <c r="A7" s="154" t="s">
        <v>161</v>
      </c>
    </row>
    <row r="9" spans="2:6" ht="12.75">
      <c r="B9" s="156" t="s">
        <v>162</v>
      </c>
      <c r="C9" s="156" t="s">
        <v>163</v>
      </c>
      <c r="D9" s="156" t="s">
        <v>164</v>
      </c>
      <c r="E9" s="156" t="s">
        <v>165</v>
      </c>
      <c r="F9" s="156" t="s">
        <v>166</v>
      </c>
    </row>
    <row r="10" spans="2:7" ht="12.75">
      <c r="B10" s="102">
        <v>1</v>
      </c>
      <c r="C10" s="168" t="str">
        <f>IF($B10="","",VLOOKUP($B10,'Produkt- &amp; Fertigungstabelle'!$A$4:$D$10,2))</f>
        <v>Eingriffe Bauch/ Hernien</v>
      </c>
      <c r="D10" s="169" t="str">
        <f>IF($B10="","",VLOOKUP($B10,'Produkt- &amp; Fertigungstabelle'!$A$4:$D$10,3))</f>
        <v>Medizinischer Bedarf</v>
      </c>
      <c r="E10" s="170">
        <f>IF($B10="","",VLOOKUP($B10,'Produkt- &amp; Fertigungstabelle'!$A$4:$D$10,4))</f>
        <v>344</v>
      </c>
      <c r="F10" s="176">
        <v>1</v>
      </c>
      <c r="G10" s="171">
        <f>IF($B10="",0,F10*E10)</f>
        <v>344</v>
      </c>
    </row>
    <row r="11" spans="2:7" ht="12.75">
      <c r="B11" s="100"/>
      <c r="C11" s="1">
        <f>IF($B11="","",VLOOKUP($B11,'Produkt- &amp; Fertigungstabelle'!$A$4:$D$10,2))</f>
      </c>
      <c r="D11" s="150">
        <f>IF($B11="","",VLOOKUP($B11,'Produkt- &amp; Fertigungstabelle'!$A$4:$D$10,3))</f>
      </c>
      <c r="E11" s="150">
        <f>IF($B11="","",VLOOKUP($B11,'Produkt- &amp; Fertigungstabelle'!$A$4:$D$10,4))</f>
      </c>
      <c r="F11" s="157"/>
      <c r="G11" s="171">
        <f>IF($B11="",0,F11*E11)</f>
        <v>0</v>
      </c>
    </row>
    <row r="12" spans="2:7" ht="12.75">
      <c r="B12" s="100"/>
      <c r="C12" s="1">
        <f>IF($B12="","",VLOOKUP($B12,'Produkt- &amp; Fertigungstabelle'!$A$4:$D$10,2))</f>
      </c>
      <c r="D12" s="150">
        <f>IF($B12="","",VLOOKUP($B12,'Produkt- &amp; Fertigungstabelle'!$A$4:$D$10,3))</f>
      </c>
      <c r="E12" s="150">
        <f>IF($B12="","",VLOOKUP($B12,'Produkt- &amp; Fertigungstabelle'!$A$4:$D$10,4))</f>
      </c>
      <c r="F12" s="157"/>
      <c r="G12" s="171">
        <f>IF($B12="",0,F12*E12)</f>
        <v>0</v>
      </c>
    </row>
    <row r="13" spans="2:7" ht="12.75">
      <c r="B13" s="100"/>
      <c r="C13" s="1">
        <f>IF($B13="","",VLOOKUP($B13,'Produkt- &amp; Fertigungstabelle'!$A$4:$D$10,2))</f>
      </c>
      <c r="D13" s="150">
        <f>IF($B13="","",VLOOKUP($B13,'Produkt- &amp; Fertigungstabelle'!$A$4:$D$10,3))</f>
      </c>
      <c r="E13" s="150">
        <f>IF($B13="","",VLOOKUP($B13,'Produkt- &amp; Fertigungstabelle'!$A$4:$D$10,4))</f>
      </c>
      <c r="F13" s="157"/>
      <c r="G13" s="171">
        <f>IF($B13="",0,F13*E13)</f>
        <v>0</v>
      </c>
    </row>
    <row r="14" spans="1:7" s="109" customFormat="1" ht="12.75">
      <c r="A14" s="109" t="s">
        <v>167</v>
      </c>
      <c r="B14"/>
      <c r="G14" s="172">
        <f>SUM(G10:G13)</f>
        <v>344</v>
      </c>
    </row>
    <row r="15" spans="6:7" ht="12.75">
      <c r="F15" s="157"/>
      <c r="G15" s="171"/>
    </row>
    <row r="16" spans="1:7" ht="15.75">
      <c r="A16" s="154" t="s">
        <v>22</v>
      </c>
      <c r="F16" s="157"/>
      <c r="G16" s="14"/>
    </row>
    <row r="17" spans="2:7" ht="12.75">
      <c r="B17" s="156" t="s">
        <v>168</v>
      </c>
      <c r="C17" s="156" t="s">
        <v>163</v>
      </c>
      <c r="D17" s="156" t="s">
        <v>169</v>
      </c>
      <c r="E17" s="156" t="s">
        <v>170</v>
      </c>
      <c r="F17" s="158" t="s">
        <v>171</v>
      </c>
      <c r="G17" s="14"/>
    </row>
    <row r="18" spans="2:7" ht="12.75">
      <c r="B18" s="168">
        <f>IF($B10="","",VLOOKUP($B10,'Produkt- &amp; Fertigungstabelle'!$A$4:$K$10,10))</f>
        <v>450</v>
      </c>
      <c r="C18" s="168" t="str">
        <f>IF($B18="","",VLOOKUP($B18,'Produkt- &amp; Fertigungstabelle'!$A$14:$F$20,2,FALSE))</f>
        <v>Chirurgie</v>
      </c>
      <c r="D18" s="168" t="str">
        <f>IF($B18="","",VLOOKUP($B18,'Produkt- &amp; Fertigungstabelle'!$A$14:$F$20,3))</f>
        <v>Aufenthaltstage</v>
      </c>
      <c r="E18" s="170">
        <f>IF($B18="","",VLOOKUP($B18,'Produkt- &amp; Fertigungstabelle'!$A$14:$F$20,4))</f>
        <v>89.44946808510639</v>
      </c>
      <c r="F18" s="169">
        <f>IF($B18="","",VLOOKUP(B10,'Produkt- &amp; Fertigungstabelle'!$A$4:$K$10,11))</f>
        <v>8.5</v>
      </c>
      <c r="G18" s="171">
        <f>IF(B18="",0,F18*E18)</f>
        <v>760.3204787234043</v>
      </c>
    </row>
    <row r="19" spans="2:7" ht="12.75">
      <c r="B19" s="177">
        <v>240</v>
      </c>
      <c r="C19" s="168" t="str">
        <f>IF($B19="","",VLOOKUP($B19,'Produkt- &amp; Fertigungstabelle'!$A$14:$F$20,2))</f>
        <v>Radiologie</v>
      </c>
      <c r="D19" s="168" t="str">
        <f>IF($B19="","",VLOOKUP($B19,'Produkt- &amp; Fertigungstabelle'!$A$14:$F$20,3))</f>
        <v>Mitarbeiterstunden</v>
      </c>
      <c r="E19" s="170">
        <f>IF($B19="","",VLOOKUP($B19,'Produkt- &amp; Fertigungstabelle'!$A$14:$F$20,4))</f>
        <v>64.55661288098193</v>
      </c>
      <c r="F19" s="169">
        <f>IF($B19="","",VLOOKUP(B10,'Produkt- &amp; Fertigungstabelle'!$A$4:$K$10,9))</f>
        <v>2.4</v>
      </c>
      <c r="G19" s="171">
        <f>IF(B19="",0,F19*E19)</f>
        <v>154.93587091435663</v>
      </c>
    </row>
    <row r="20" spans="5:7" ht="12.75">
      <c r="E20" s="160"/>
      <c r="F20" s="157"/>
      <c r="G20" s="171">
        <f>IF(B20="",0,F20*E20)</f>
        <v>0</v>
      </c>
    </row>
    <row r="21" spans="1:7" s="109" customFormat="1" ht="12.75">
      <c r="A21" s="109" t="s">
        <v>172</v>
      </c>
      <c r="G21" s="172">
        <f>SUM(G18:G20)</f>
        <v>915.256349637761</v>
      </c>
    </row>
    <row r="22" ht="12.75">
      <c r="G22" s="14"/>
    </row>
    <row r="23" spans="1:7" s="159" customFormat="1" ht="18">
      <c r="A23" s="159" t="s">
        <v>173</v>
      </c>
      <c r="G23" s="173">
        <f>G21+G14</f>
        <v>1259.256349637761</v>
      </c>
    </row>
    <row r="24" ht="12.75">
      <c r="G24" s="14"/>
    </row>
    <row r="25" spans="1:7" ht="15.75">
      <c r="A25" s="154" t="s">
        <v>103</v>
      </c>
      <c r="E25" s="174">
        <f>Kostenträgerrechnung!K8</f>
        <v>0.6630251484712953</v>
      </c>
      <c r="F25" s="168">
        <f>G14</f>
        <v>344</v>
      </c>
      <c r="G25" s="171">
        <f>E25*F25</f>
        <v>228.0806510741256</v>
      </c>
    </row>
    <row r="26" spans="6:7" ht="12.75">
      <c r="F26" s="157"/>
      <c r="G26" s="14"/>
    </row>
    <row r="27" spans="1:7" ht="15.75">
      <c r="A27" s="154" t="s">
        <v>174</v>
      </c>
      <c r="F27" s="157"/>
      <c r="G27" s="14"/>
    </row>
    <row r="28" spans="2:7" ht="12.75">
      <c r="B28" s="156" t="s">
        <v>168</v>
      </c>
      <c r="C28" s="156" t="s">
        <v>163</v>
      </c>
      <c r="D28" s="156" t="s">
        <v>169</v>
      </c>
      <c r="E28" s="156" t="s">
        <v>170</v>
      </c>
      <c r="F28" s="158" t="s">
        <v>171</v>
      </c>
      <c r="G28" s="14"/>
    </row>
    <row r="29" spans="2:7" ht="12.75">
      <c r="B29" s="168">
        <f>B18</f>
        <v>450</v>
      </c>
      <c r="C29" s="168" t="str">
        <f>IF($B29="","",VLOOKUP($B29,'Produkt- &amp; Fertigungstabelle'!$A$14:$F$20,2,FALSE))</f>
        <v>Chirurgie</v>
      </c>
      <c r="D29" s="168" t="str">
        <f>IF($B29="","",VLOOKUP($B29,'Produkt- &amp; Fertigungstabelle'!$A$14:$F$20,3))</f>
        <v>Aufenthaltstage</v>
      </c>
      <c r="E29" s="170">
        <f>IF($B29="","",VLOOKUP($B29,'Produkt- &amp; Fertigungstabelle'!$A$14:$F$20,5))</f>
        <v>108.87340425531914</v>
      </c>
      <c r="F29" s="175">
        <f>F18</f>
        <v>8.5</v>
      </c>
      <c r="G29" s="171">
        <f>IF(B29="",0,F29*E29)</f>
        <v>925.4239361702128</v>
      </c>
    </row>
    <row r="30" spans="2:7" ht="12.75">
      <c r="B30" s="168">
        <f>B19</f>
        <v>240</v>
      </c>
      <c r="C30" s="168" t="str">
        <f>IF($B30="","",VLOOKUP($B30,'Produkt- &amp; Fertigungstabelle'!$A$14:$F$20,2))</f>
        <v>Radiologie</v>
      </c>
      <c r="D30" s="168" t="str">
        <f>IF($B30="","",VLOOKUP($B30,'Produkt- &amp; Fertigungstabelle'!$A$14:$F$20,3))</f>
        <v>Mitarbeiterstunden</v>
      </c>
      <c r="E30" s="170">
        <f>IF($B30="","",VLOOKUP($B30,'Produkt- &amp; Fertigungstabelle'!$A$14:$F$20,5))</f>
        <v>120.29237346572887</v>
      </c>
      <c r="F30" s="175">
        <f>F19</f>
        <v>2.4</v>
      </c>
      <c r="G30" s="171">
        <f>IF(B30="",0,F30*E30)</f>
        <v>288.7016963177493</v>
      </c>
    </row>
    <row r="31" spans="3:7" ht="12.75">
      <c r="C31" s="1">
        <f>IF($B31="","",VLOOKUP($B31,'Produkt- &amp; Fertigungstabelle'!$A$17:$F$20,2))</f>
      </c>
      <c r="D31" s="1">
        <f>IF($B31="","",VLOOKUP($B31,'Produkt- &amp; Fertigungstabelle'!$A$17:$F$20,3))</f>
      </c>
      <c r="E31" s="160">
        <f>IF($B31="","",VLOOKUP($B31,'Produkt- &amp; Fertigungstabelle'!$A$17:$F$20,4))</f>
      </c>
      <c r="F31" s="157"/>
      <c r="G31" s="171">
        <f>IF(B31="",0,F31*E31)</f>
        <v>0</v>
      </c>
    </row>
    <row r="32" spans="1:7" s="109" customFormat="1" ht="12.75">
      <c r="A32" s="109" t="s">
        <v>175</v>
      </c>
      <c r="G32" s="172">
        <f>SUM(G29:G31)</f>
        <v>1214.125632487962</v>
      </c>
    </row>
    <row r="33" ht="12.75">
      <c r="G33" s="14"/>
    </row>
    <row r="34" spans="1:7" s="159" customFormat="1" ht="18">
      <c r="A34" s="159" t="s">
        <v>176</v>
      </c>
      <c r="G34" s="173">
        <f>G32+G25</f>
        <v>1442.2062835620877</v>
      </c>
    </row>
    <row r="35" ht="12.75">
      <c r="G35" s="14"/>
    </row>
    <row r="36" ht="12.75">
      <c r="G36" s="14"/>
    </row>
    <row r="37" spans="1:7" s="159" customFormat="1" ht="18">
      <c r="A37" s="159" t="s">
        <v>177</v>
      </c>
      <c r="G37" s="173">
        <f>G23+G34</f>
        <v>2701.462633199849</v>
      </c>
    </row>
    <row r="38" ht="12.75">
      <c r="G38" s="14"/>
    </row>
    <row r="39" ht="12.75">
      <c r="G39" s="14"/>
    </row>
    <row r="40" spans="1:7" ht="15.75">
      <c r="A40" s="154" t="s">
        <v>209</v>
      </c>
      <c r="E40" s="174">
        <f>Kostenträgerrechnung!K14</f>
        <v>0.2226255676507468</v>
      </c>
      <c r="F40" s="171">
        <f>G37</f>
        <v>2701.462633199849</v>
      </c>
      <c r="G40" s="171">
        <f>F40*E40</f>
        <v>601.4146522033975</v>
      </c>
    </row>
    <row r="41" ht="12.75">
      <c r="G41" s="14"/>
    </row>
    <row r="42" spans="1:7" s="159" customFormat="1" ht="18">
      <c r="A42" s="159" t="s">
        <v>108</v>
      </c>
      <c r="G42" s="173">
        <f>SUM(G37:G40)</f>
        <v>3302.8772854032463</v>
      </c>
    </row>
  </sheetData>
  <sheetProtection sheet="1" objects="1" scenarios="1"/>
  <printOptions horizontalCentered="1" verticalCentered="1"/>
  <pageMargins left="0.4724409448818898" right="0.5511811023622047" top="0.984251968503937" bottom="2.94" header="0.5118110236220472" footer="0.5118110236220472"/>
  <pageSetup fitToHeight="1" fitToWidth="1" horizontalDpi="300" verticalDpi="300" orientation="portrait" paperSize="9" scale="97" r:id="rId2"/>
  <headerFooter alignWithMargins="0">
    <oddFooter>&amp;L&amp;A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R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100" customWidth="1"/>
    <col min="2" max="2" width="23.8515625" style="100" customWidth="1"/>
    <col min="3" max="3" width="24.28125" style="100" customWidth="1"/>
    <col min="4" max="7" width="11.7109375" style="100" customWidth="1"/>
    <col min="8" max="16384" width="11.421875" style="100" customWidth="1"/>
  </cols>
  <sheetData>
    <row r="1" spans="1:18" ht="12.75">
      <c r="A1" s="100" t="s">
        <v>197</v>
      </c>
      <c r="F1" s="1"/>
      <c r="G1" s="1"/>
      <c r="H1" s="1"/>
      <c r="I1" s="37"/>
      <c r="J1" s="37"/>
      <c r="K1" s="1"/>
      <c r="L1" s="1"/>
      <c r="M1" s="1"/>
      <c r="N1" s="1"/>
      <c r="P1" s="1"/>
      <c r="Q1" s="1"/>
      <c r="R1" s="1"/>
    </row>
    <row r="2" spans="1:13" ht="12.75">
      <c r="A2" s="101" t="s">
        <v>178</v>
      </c>
      <c r="B2" s="102"/>
      <c r="C2" s="102"/>
      <c r="D2" s="102"/>
      <c r="E2" s="102"/>
      <c r="L2" s="1"/>
      <c r="M2" s="1"/>
    </row>
    <row r="3" spans="1:11" s="106" customFormat="1" ht="36" customHeight="1">
      <c r="A3" s="103" t="s">
        <v>179</v>
      </c>
      <c r="B3" s="104" t="s">
        <v>163</v>
      </c>
      <c r="C3" s="104" t="s">
        <v>180</v>
      </c>
      <c r="D3" s="104" t="s">
        <v>181</v>
      </c>
      <c r="E3" s="104" t="s">
        <v>210</v>
      </c>
      <c r="F3" s="104" t="s">
        <v>211</v>
      </c>
      <c r="G3" s="104" t="s">
        <v>212</v>
      </c>
      <c r="H3" s="104" t="s">
        <v>213</v>
      </c>
      <c r="I3" s="104" t="s">
        <v>182</v>
      </c>
      <c r="J3" s="104" t="s">
        <v>203</v>
      </c>
      <c r="K3" s="105" t="s">
        <v>201</v>
      </c>
    </row>
    <row r="4" spans="1:11" ht="12.75">
      <c r="A4" s="100">
        <v>1</v>
      </c>
      <c r="B4" s="102" t="s">
        <v>183</v>
      </c>
      <c r="C4" s="102" t="s">
        <v>161</v>
      </c>
      <c r="D4" s="107">
        <v>344</v>
      </c>
      <c r="E4" s="164">
        <f>'Absatzplanung (gesamt)'!D14</f>
        <v>3100</v>
      </c>
      <c r="F4" s="107">
        <v>2740</v>
      </c>
      <c r="G4" s="107">
        <v>4410</v>
      </c>
      <c r="H4" s="107">
        <v>4930</v>
      </c>
      <c r="I4" s="37">
        <v>2.4</v>
      </c>
      <c r="J4" s="29">
        <v>450</v>
      </c>
      <c r="K4" s="37">
        <v>8.5</v>
      </c>
    </row>
    <row r="5" spans="1:11" ht="12.75">
      <c r="A5" s="100">
        <v>2</v>
      </c>
      <c r="B5" s="102" t="s">
        <v>184</v>
      </c>
      <c r="C5" s="102" t="s">
        <v>161</v>
      </c>
      <c r="D5" s="107">
        <v>128</v>
      </c>
      <c r="E5" s="164">
        <f>'Absatzplanung (gesamt)'!E14</f>
        <v>2740</v>
      </c>
      <c r="F5" s="107">
        <v>2420</v>
      </c>
      <c r="G5" s="107">
        <v>3890</v>
      </c>
      <c r="H5" s="107">
        <v>4410</v>
      </c>
      <c r="I5" s="37">
        <v>1.8</v>
      </c>
      <c r="J5" s="29">
        <v>450</v>
      </c>
      <c r="K5" s="37">
        <v>9.5</v>
      </c>
    </row>
    <row r="6" spans="1:11" ht="12.75">
      <c r="A6" s="100">
        <v>3</v>
      </c>
      <c r="B6" s="102" t="s">
        <v>185</v>
      </c>
      <c r="C6" s="102" t="s">
        <v>161</v>
      </c>
      <c r="D6" s="107">
        <v>90</v>
      </c>
      <c r="E6" s="164">
        <f>'Absatzplanung (gesamt)'!F14</f>
        <v>2090</v>
      </c>
      <c r="F6" s="107">
        <v>1850</v>
      </c>
      <c r="G6" s="107">
        <v>2980</v>
      </c>
      <c r="H6" s="107">
        <v>3260</v>
      </c>
      <c r="I6" s="37">
        <v>2.19</v>
      </c>
      <c r="J6" s="29">
        <v>450</v>
      </c>
      <c r="K6" s="37">
        <v>7.5</v>
      </c>
    </row>
    <row r="7" spans="1:11" ht="12.75">
      <c r="A7" s="100">
        <v>4</v>
      </c>
      <c r="B7" s="102" t="s">
        <v>186</v>
      </c>
      <c r="C7" s="102" t="s">
        <v>161</v>
      </c>
      <c r="D7" s="107">
        <v>126</v>
      </c>
      <c r="E7" s="164">
        <f>'Absatzplanung (gesamt)'!H14</f>
        <v>3540</v>
      </c>
      <c r="F7" s="107">
        <v>3120</v>
      </c>
      <c r="G7" s="107">
        <v>5030</v>
      </c>
      <c r="H7" s="107">
        <v>5905</v>
      </c>
      <c r="I7" s="37">
        <v>2.4</v>
      </c>
      <c r="J7" s="29">
        <v>451</v>
      </c>
      <c r="K7" s="37">
        <v>7.5</v>
      </c>
    </row>
    <row r="8" spans="1:11" ht="12.75">
      <c r="A8" s="100">
        <v>5</v>
      </c>
      <c r="B8" s="102" t="s">
        <v>187</v>
      </c>
      <c r="C8" s="102" t="s">
        <v>161</v>
      </c>
      <c r="D8" s="107">
        <v>240</v>
      </c>
      <c r="E8" s="164">
        <f>'Absatzplanung (gesamt)'!I14</f>
        <v>3100</v>
      </c>
      <c r="F8" s="107">
        <v>2740</v>
      </c>
      <c r="G8" s="107">
        <v>4410</v>
      </c>
      <c r="H8" s="107">
        <v>4930</v>
      </c>
      <c r="I8" s="37">
        <v>1.8</v>
      </c>
      <c r="J8" s="29">
        <v>451</v>
      </c>
      <c r="K8" s="37">
        <v>6.75</v>
      </c>
    </row>
    <row r="9" spans="1:11" ht="12.75">
      <c r="A9" s="100">
        <v>6</v>
      </c>
      <c r="B9" s="102" t="s">
        <v>188</v>
      </c>
      <c r="C9" s="102" t="s">
        <v>161</v>
      </c>
      <c r="D9" s="107">
        <v>90</v>
      </c>
      <c r="E9" s="164">
        <f>'Absatzplanung (gesamt)'!J14</f>
        <v>3280</v>
      </c>
      <c r="F9" s="107">
        <v>2900</v>
      </c>
      <c r="G9" s="107">
        <v>4660</v>
      </c>
      <c r="H9" s="107">
        <v>5220</v>
      </c>
      <c r="I9" s="37">
        <v>2.19</v>
      </c>
      <c r="J9" s="29">
        <v>451</v>
      </c>
      <c r="K9" s="37">
        <v>8</v>
      </c>
    </row>
    <row r="10" spans="3:5" ht="12.75">
      <c r="C10" s="102"/>
      <c r="E10" s="106" t="s">
        <v>189</v>
      </c>
    </row>
    <row r="11" ht="12.75">
      <c r="E11" s="165">
        <f>'Absatzplanung (gesamt)'!B16-Kostenträgerrechnung!B15</f>
        <v>-3987.500000016764</v>
      </c>
    </row>
    <row r="12" spans="1:12" ht="12.75">
      <c r="A12" s="101" t="s">
        <v>190</v>
      </c>
      <c r="B12" s="102"/>
      <c r="C12" s="102"/>
      <c r="D12" s="102"/>
      <c r="E12" s="102"/>
      <c r="I12" s="37"/>
      <c r="J12" s="37"/>
      <c r="K12" s="37"/>
      <c r="L12" s="37"/>
    </row>
    <row r="13" spans="1:12" s="106" customFormat="1" ht="36" customHeight="1">
      <c r="A13" s="103" t="s">
        <v>179</v>
      </c>
      <c r="B13" s="104" t="s">
        <v>163</v>
      </c>
      <c r="C13" s="104" t="s">
        <v>180</v>
      </c>
      <c r="D13" s="104" t="s">
        <v>191</v>
      </c>
      <c r="E13" s="105" t="s">
        <v>192</v>
      </c>
      <c r="F13" s="100"/>
      <c r="G13" s="100"/>
      <c r="H13" s="100"/>
      <c r="I13" s="37"/>
      <c r="J13" s="37"/>
      <c r="K13" s="37"/>
      <c r="L13" s="37"/>
    </row>
    <row r="14" spans="1:11" ht="12.75">
      <c r="A14" s="100">
        <v>10</v>
      </c>
      <c r="B14" s="102" t="s">
        <v>32</v>
      </c>
      <c r="C14" s="102" t="s">
        <v>193</v>
      </c>
      <c r="D14" s="107"/>
      <c r="E14" s="164">
        <f>'Anlagenspiegel &amp; Raumzuteilung'!H4</f>
        <v>450</v>
      </c>
      <c r="K14" s="108"/>
    </row>
    <row r="15" spans="1:5" ht="12.75">
      <c r="A15" s="100">
        <v>40</v>
      </c>
      <c r="B15" s="100" t="s">
        <v>33</v>
      </c>
      <c r="C15" s="100" t="s">
        <v>194</v>
      </c>
      <c r="E15" s="166">
        <f>Kostenträgerrechnung!K14</f>
        <v>0.22262556765074465</v>
      </c>
    </row>
    <row r="16" spans="1:11" ht="12.75">
      <c r="A16" s="100">
        <v>80</v>
      </c>
      <c r="B16" s="102" t="s">
        <v>34</v>
      </c>
      <c r="C16" s="102" t="s">
        <v>195</v>
      </c>
      <c r="D16" s="107"/>
      <c r="E16" s="167">
        <f>Kostenträgerrechnung!K8</f>
        <v>0.6630251484712956</v>
      </c>
      <c r="K16" s="108"/>
    </row>
    <row r="17" spans="1:11" ht="12.75">
      <c r="A17" s="100">
        <v>100</v>
      </c>
      <c r="B17" s="102" t="s">
        <v>35</v>
      </c>
      <c r="C17" s="102" t="s">
        <v>78</v>
      </c>
      <c r="D17" s="164">
        <f>'KS 100 U&amp;R'!E34</f>
        <v>50</v>
      </c>
      <c r="E17" s="164">
        <f>'KS 100 U&amp;R'!F34</f>
        <v>65</v>
      </c>
      <c r="K17" s="108"/>
    </row>
    <row r="18" spans="1:11" ht="12.75">
      <c r="A18" s="100">
        <v>240</v>
      </c>
      <c r="B18" s="102" t="s">
        <v>36</v>
      </c>
      <c r="C18" s="102" t="s">
        <v>78</v>
      </c>
      <c r="D18" s="164">
        <f>'KS 240 Radiologie'!E29</f>
        <v>64.55661288098193</v>
      </c>
      <c r="E18" s="164">
        <f>'KS 240 Radiologie'!F29</f>
        <v>120.29237346572887</v>
      </c>
      <c r="K18" s="108"/>
    </row>
    <row r="19" spans="1:11" ht="12.75">
      <c r="A19" s="100">
        <v>450</v>
      </c>
      <c r="B19" s="102" t="s">
        <v>38</v>
      </c>
      <c r="C19" s="102" t="s">
        <v>15</v>
      </c>
      <c r="D19" s="164">
        <f>'KS 450 Chirurgie'!E33</f>
        <v>89.44946808510639</v>
      </c>
      <c r="E19" s="164">
        <f>'KS 450 Chirurgie'!F33</f>
        <v>108.87340425531914</v>
      </c>
      <c r="K19" s="108"/>
    </row>
    <row r="20" spans="1:11" ht="12.75">
      <c r="A20" s="100">
        <v>451</v>
      </c>
      <c r="B20" s="102" t="s">
        <v>37</v>
      </c>
      <c r="C20" s="102" t="s">
        <v>15</v>
      </c>
      <c r="D20" s="164">
        <f>'KS 451 Orthopädie'!E33</f>
        <v>111.27659574468085</v>
      </c>
      <c r="E20" s="164">
        <f>'KS 451 Orthopädie'!F33</f>
        <v>109.72207446808511</v>
      </c>
      <c r="K20" s="108"/>
    </row>
    <row r="24" ht="12.75">
      <c r="B24" s="100" t="s">
        <v>202</v>
      </c>
    </row>
  </sheetData>
  <sheetProtection sheet="1" objects="1" scenarios="1"/>
  <printOptions horizontalCentered="1" verticalCentered="1"/>
  <pageMargins left="0.2" right="0.22" top="0.7086614173228347" bottom="3.41" header="0.5118110236220472" footer="0.5118110236220472"/>
  <pageSetup fitToHeight="1" fitToWidth="1" horizontalDpi="150" verticalDpi="150" orientation="landscape" paperSize="9" scale="86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zoomScalePageLayoutView="0" workbookViewId="0" topLeftCell="A1">
      <selection activeCell="E17" sqref="E17"/>
    </sheetView>
  </sheetViews>
  <sheetFormatPr defaultColWidth="11.421875" defaultRowHeight="12.75"/>
  <cols>
    <col min="1" max="1" width="7.57421875" style="190" customWidth="1"/>
    <col min="2" max="2" width="22.57421875" style="1" customWidth="1"/>
    <col min="3" max="3" width="5.8515625" style="1" customWidth="1"/>
    <col min="4" max="6" width="16.00390625" style="1" customWidth="1"/>
    <col min="7" max="7" width="0" style="1" hidden="1" customWidth="1"/>
    <col min="8" max="16384" width="11.421875" style="1" customWidth="1"/>
  </cols>
  <sheetData>
    <row r="1" spans="1:6" ht="13.5" thickBot="1">
      <c r="A1" s="192" t="s">
        <v>137</v>
      </c>
      <c r="B1" s="110"/>
      <c r="C1" s="110"/>
      <c r="D1" s="110" t="s">
        <v>91</v>
      </c>
      <c r="E1" s="111"/>
      <c r="F1" s="96"/>
    </row>
    <row r="2" spans="1:6" ht="13.5" thickBot="1">
      <c r="A2" s="193"/>
      <c r="B2" s="96"/>
      <c r="C2" s="96"/>
      <c r="D2" s="96"/>
      <c r="E2" s="96"/>
      <c r="F2" s="96"/>
    </row>
    <row r="3" spans="1:6" ht="12.75">
      <c r="A3" s="194" t="s">
        <v>138</v>
      </c>
      <c r="B3" s="112"/>
      <c r="C3" s="112"/>
      <c r="D3" s="113"/>
      <c r="E3" s="114"/>
      <c r="F3" s="96"/>
    </row>
    <row r="4" spans="1:6" ht="12.75">
      <c r="A4" s="195" t="s">
        <v>77</v>
      </c>
      <c r="B4" s="96"/>
      <c r="C4" s="96"/>
      <c r="D4" s="182">
        <f>'KS 451 Orthopädie'!D4/12</f>
        <v>783.3333333333334</v>
      </c>
      <c r="E4" s="115" t="s">
        <v>15</v>
      </c>
      <c r="F4" s="96"/>
    </row>
    <row r="5" spans="1:6" ht="12.75">
      <c r="A5" s="195" t="s">
        <v>139</v>
      </c>
      <c r="B5" s="96"/>
      <c r="C5" s="96"/>
      <c r="D5" s="182">
        <f>'KS 451 Orthopädie'!D6/12</f>
        <v>912.5</v>
      </c>
      <c r="E5" s="115" t="s">
        <v>78</v>
      </c>
      <c r="F5" s="96"/>
    </row>
    <row r="6" spans="1:6" ht="12.75" hidden="1">
      <c r="A6" s="195" t="s">
        <v>140</v>
      </c>
      <c r="B6" s="96"/>
      <c r="C6" s="96"/>
      <c r="D6" s="182">
        <v>820</v>
      </c>
      <c r="E6" s="115" t="s">
        <v>78</v>
      </c>
      <c r="F6" s="96"/>
    </row>
    <row r="7" spans="1:6" ht="12.75">
      <c r="A7" s="195" t="s">
        <v>141</v>
      </c>
      <c r="B7" s="96"/>
      <c r="C7" s="96"/>
      <c r="D7" s="182">
        <f>D6</f>
        <v>820</v>
      </c>
      <c r="E7" s="115" t="s">
        <v>78</v>
      </c>
      <c r="F7" s="96"/>
    </row>
    <row r="8" spans="1:6" ht="12.75">
      <c r="A8" s="195"/>
      <c r="B8" s="96"/>
      <c r="C8" s="96"/>
      <c r="D8" s="182"/>
      <c r="E8" s="115"/>
      <c r="F8" s="96"/>
    </row>
    <row r="9" spans="1:6" ht="12.75">
      <c r="A9" s="195" t="s">
        <v>142</v>
      </c>
      <c r="B9" s="96"/>
      <c r="C9" s="116"/>
      <c r="D9" s="183">
        <f>D6/D4</f>
        <v>1.0468085106382978</v>
      </c>
      <c r="E9" s="115"/>
      <c r="F9" s="96"/>
    </row>
    <row r="10" spans="1:6" ht="13.5" thickBot="1">
      <c r="A10" s="196" t="s">
        <v>143</v>
      </c>
      <c r="B10" s="118"/>
      <c r="C10" s="118"/>
      <c r="D10" s="184">
        <f>D7/D5</f>
        <v>0.8986301369863013</v>
      </c>
      <c r="E10" s="119"/>
      <c r="F10" s="96"/>
    </row>
    <row r="11" spans="2:6" ht="12.75">
      <c r="B11" s="120"/>
      <c r="C11" s="120"/>
      <c r="E11" s="121"/>
      <c r="F11" s="96"/>
    </row>
    <row r="12" spans="1:6" ht="13.5" thickBot="1">
      <c r="A12" s="191"/>
      <c r="B12" s="96"/>
      <c r="C12" s="96"/>
      <c r="D12" s="96"/>
      <c r="E12" s="96"/>
      <c r="F12" s="96"/>
    </row>
    <row r="13" spans="1:7" ht="12.75">
      <c r="A13" s="124" t="s">
        <v>52</v>
      </c>
      <c r="B13" s="122" t="s">
        <v>53</v>
      </c>
      <c r="C13" s="112"/>
      <c r="D13" s="123" t="s">
        <v>144</v>
      </c>
      <c r="E13" s="123" t="s">
        <v>145</v>
      </c>
      <c r="F13" s="124" t="s">
        <v>146</v>
      </c>
      <c r="G13" s="125" t="s">
        <v>147</v>
      </c>
    </row>
    <row r="14" spans="1:7" ht="13.5" thickBot="1">
      <c r="A14" s="128"/>
      <c r="B14" s="117"/>
      <c r="C14" s="119"/>
      <c r="D14" s="127"/>
      <c r="E14" s="126"/>
      <c r="F14" s="128" t="s">
        <v>148</v>
      </c>
      <c r="G14" s="129"/>
    </row>
    <row r="15" spans="1:7" ht="12.75">
      <c r="A15" s="139">
        <v>1</v>
      </c>
      <c r="B15" s="98" t="s">
        <v>59</v>
      </c>
      <c r="C15" s="120"/>
      <c r="D15" s="185">
        <f>'KS 451 Orthopädie'!F17/12+'KS 451 Orthopädie'!E17*$D$9/12</f>
        <v>93331.1170212766</v>
      </c>
      <c r="E15" s="187">
        <f>'KS 451 Orthopädie'!$D$17/12</f>
        <v>89937.5</v>
      </c>
      <c r="F15" s="185">
        <f aca="true" t="shared" si="0" ref="F15:F21">D15-E15</f>
        <v>3393.617021276601</v>
      </c>
      <c r="G15" s="131">
        <f aca="true" t="shared" si="1" ref="G15:G21">F15/D15</f>
        <v>0.036361045807508784</v>
      </c>
    </row>
    <row r="16" spans="1:7" ht="12.75">
      <c r="A16" s="139">
        <v>3</v>
      </c>
      <c r="B16" s="98" t="s">
        <v>60</v>
      </c>
      <c r="C16" s="120"/>
      <c r="D16" s="185">
        <f>'KS 451 Orthopädie'!F18/12+'KS 451 Orthopädie'!E18*$D$9/12</f>
        <v>13999.667553191488</v>
      </c>
      <c r="E16" s="187">
        <f>0.15*E15</f>
        <v>13490.625</v>
      </c>
      <c r="F16" s="185">
        <f t="shared" si="0"/>
        <v>509.04255319148797</v>
      </c>
      <c r="G16" s="132">
        <f t="shared" si="1"/>
        <v>0.03636104580750863</v>
      </c>
    </row>
    <row r="17" spans="1:7" ht="12.75">
      <c r="A17" s="139">
        <v>5</v>
      </c>
      <c r="B17" s="98" t="s">
        <v>97</v>
      </c>
      <c r="C17" s="120"/>
      <c r="D17" s="185">
        <f>'KS 451 Orthopädie'!F19/12+'KS 451 Orthopädie'!E19*$D$9/12</f>
        <v>2404.1666666666665</v>
      </c>
      <c r="E17" s="197">
        <v>70</v>
      </c>
      <c r="F17" s="185">
        <f t="shared" si="0"/>
        <v>2334.1666666666665</v>
      </c>
      <c r="G17" s="132">
        <f t="shared" si="1"/>
        <v>0.9708838821490468</v>
      </c>
    </row>
    <row r="18" spans="1:7" ht="12.75">
      <c r="A18" s="139">
        <v>6</v>
      </c>
      <c r="B18" s="98" t="s">
        <v>62</v>
      </c>
      <c r="C18" s="120"/>
      <c r="D18" s="185">
        <f>'KS 451 Orthopädie'!F20/12+'KS 451 Orthopädie'!E20*$D$9/12</f>
        <v>198.6879432624113</v>
      </c>
      <c r="E18" s="197">
        <v>140</v>
      </c>
      <c r="F18" s="185">
        <f t="shared" si="0"/>
        <v>58.687943262411295</v>
      </c>
      <c r="G18" s="132">
        <f t="shared" si="1"/>
        <v>0.2953774763519541</v>
      </c>
    </row>
    <row r="19" spans="1:7" ht="12.75">
      <c r="A19" s="139">
        <v>13</v>
      </c>
      <c r="B19" s="98" t="s">
        <v>83</v>
      </c>
      <c r="C19" s="120"/>
      <c r="D19" s="185">
        <f>'KS 451 Orthopädie'!F21/12+'KS 451 Orthopädie'!E21*$D$9/12</f>
        <v>1829.8581560283687</v>
      </c>
      <c r="E19" s="197">
        <v>4300</v>
      </c>
      <c r="F19" s="185">
        <f t="shared" si="0"/>
        <v>-2470.1418439716313</v>
      </c>
      <c r="G19" s="132">
        <f t="shared" si="1"/>
        <v>-1.3499089182589823</v>
      </c>
    </row>
    <row r="20" spans="1:7" ht="12.75">
      <c r="A20" s="139">
        <v>14</v>
      </c>
      <c r="B20" s="98" t="s">
        <v>68</v>
      </c>
      <c r="C20" s="120"/>
      <c r="D20" s="185">
        <f>'KS 451 Orthopädie'!F22/12+'KS 451 Orthopädie'!E22*$D$9/12</f>
        <v>1991.6666666666667</v>
      </c>
      <c r="E20" s="197">
        <v>1320</v>
      </c>
      <c r="F20" s="185">
        <f t="shared" si="0"/>
        <v>671.6666666666667</v>
      </c>
      <c r="G20" s="132">
        <f t="shared" si="1"/>
        <v>0.3372384937238494</v>
      </c>
    </row>
    <row r="21" spans="1:7" ht="12.75">
      <c r="A21" s="52">
        <v>51</v>
      </c>
      <c r="B21" s="58" t="s">
        <v>69</v>
      </c>
      <c r="C21" s="79"/>
      <c r="D21" s="185">
        <f>'KS 451 Orthopädie'!F23/12+'KS 451 Orthopädie'!E23*$D$9/12</f>
        <v>3440.6028368794323</v>
      </c>
      <c r="E21" s="187">
        <f>63*'KS 100 U&amp;R'!$E$34</f>
        <v>3150</v>
      </c>
      <c r="F21" s="185">
        <f t="shared" si="0"/>
        <v>290.6028368794323</v>
      </c>
      <c r="G21" s="132">
        <f t="shared" si="1"/>
        <v>0.08446276732800816</v>
      </c>
    </row>
    <row r="22" spans="1:7" ht="12.75">
      <c r="A22" s="139"/>
      <c r="B22" s="98"/>
      <c r="C22" s="120"/>
      <c r="D22" s="185"/>
      <c r="E22" s="130"/>
      <c r="F22" s="185"/>
      <c r="G22" s="133"/>
    </row>
    <row r="23" spans="1:7" ht="12.75">
      <c r="A23" s="139"/>
      <c r="B23" s="98" t="s">
        <v>70</v>
      </c>
      <c r="C23" s="120"/>
      <c r="D23" s="185">
        <f>SUM(D15:D22)</f>
        <v>117195.76684397165</v>
      </c>
      <c r="E23" s="185">
        <f>SUM(E15:E22)</f>
        <v>112408.125</v>
      </c>
      <c r="F23" s="185">
        <f>SUM(F15:F22)</f>
        <v>4787.6418439716335</v>
      </c>
      <c r="G23" s="132">
        <f>F23/D23</f>
        <v>0.04085166190640359</v>
      </c>
    </row>
    <row r="24" spans="1:7" ht="12.75">
      <c r="A24" s="139"/>
      <c r="B24" s="98"/>
      <c r="C24" s="120"/>
      <c r="D24" s="185"/>
      <c r="E24" s="187"/>
      <c r="F24" s="185"/>
      <c r="G24" s="133"/>
    </row>
    <row r="25" spans="1:7" ht="12.75">
      <c r="A25" s="139">
        <v>20</v>
      </c>
      <c r="B25" s="98" t="s">
        <v>71</v>
      </c>
      <c r="C25" s="120"/>
      <c r="D25" s="185">
        <f>'KS 451 Orthopädie'!F27/12+'KS 451 Orthopädie'!E27*$D$9/12</f>
        <v>22333.333333333332</v>
      </c>
      <c r="E25" s="187">
        <f>D25</f>
        <v>22333.333333333332</v>
      </c>
      <c r="F25" s="185">
        <f>D25-E25</f>
        <v>0</v>
      </c>
      <c r="G25" s="132">
        <f>F25/D25</f>
        <v>0</v>
      </c>
    </row>
    <row r="26" spans="1:7" ht="12.75">
      <c r="A26" s="139">
        <v>21</v>
      </c>
      <c r="B26" s="98" t="s">
        <v>24</v>
      </c>
      <c r="C26" s="120"/>
      <c r="D26" s="185">
        <f>'KS 451 Orthopädie'!F28/12+'KS 451 Orthopädie'!E28*$D$9/12</f>
        <v>5583.333333333333</v>
      </c>
      <c r="E26" s="187">
        <f>D26</f>
        <v>5583.333333333333</v>
      </c>
      <c r="F26" s="185">
        <f>D26-E26</f>
        <v>0</v>
      </c>
      <c r="G26" s="132">
        <f>F26/D26</f>
        <v>0</v>
      </c>
    </row>
    <row r="27" spans="1:7" ht="12" customHeight="1">
      <c r="A27" s="139">
        <v>50</v>
      </c>
      <c r="B27" s="98" t="s">
        <v>149</v>
      </c>
      <c r="C27" s="120"/>
      <c r="D27" s="185">
        <f>'KS 451 Orthopädie'!F29/12+'KS 451 Orthopädie'!E29*$D$9/12</f>
        <v>27750</v>
      </c>
      <c r="E27" s="187">
        <v>0</v>
      </c>
      <c r="F27" s="185">
        <v>0</v>
      </c>
      <c r="G27" s="132" t="e">
        <v>#DIV/0!</v>
      </c>
    </row>
    <row r="28" spans="1:7" ht="13.5" thickBot="1">
      <c r="A28" s="128">
        <v>52</v>
      </c>
      <c r="B28" s="58" t="s">
        <v>73</v>
      </c>
      <c r="C28" s="120"/>
      <c r="D28" s="185">
        <f>'KS 451 Orthopädie'!F30/12+'KS 451 Orthopädie'!E30*$D$9/12</f>
        <v>4333.333333333333</v>
      </c>
      <c r="E28" s="187">
        <f>D28</f>
        <v>4333.333333333333</v>
      </c>
      <c r="F28" s="185">
        <f>D28-E28</f>
        <v>0</v>
      </c>
      <c r="G28" s="132">
        <f>F28/D28</f>
        <v>0</v>
      </c>
    </row>
    <row r="29" spans="1:7" ht="13.5" thickBot="1">
      <c r="A29" s="191"/>
      <c r="B29" s="94" t="s">
        <v>74</v>
      </c>
      <c r="C29" s="134"/>
      <c r="D29" s="186">
        <f>SUM(D23:D28)</f>
        <v>177195.76684397168</v>
      </c>
      <c r="E29" s="186">
        <f>SUM(E23:E28)</f>
        <v>144658.12500000003</v>
      </c>
      <c r="F29" s="188">
        <f>SUM(F23:F28)</f>
        <v>4787.6418439716335</v>
      </c>
      <c r="G29" s="135">
        <f>F29/D29</f>
        <v>0.027018940289851016</v>
      </c>
    </row>
    <row r="32" ht="13.5" thickBot="1"/>
    <row r="33" spans="1:6" ht="12.75">
      <c r="A33" s="194" t="s">
        <v>150</v>
      </c>
      <c r="B33" s="112"/>
      <c r="C33" s="112"/>
      <c r="D33" s="113"/>
      <c r="E33" s="114"/>
      <c r="F33" s="96"/>
    </row>
    <row r="34" spans="1:6" ht="12.75">
      <c r="A34" s="195" t="s">
        <v>77</v>
      </c>
      <c r="B34" s="96"/>
      <c r="C34" s="96"/>
      <c r="D34" s="182">
        <f>D4*2</f>
        <v>1566.6666666666667</v>
      </c>
      <c r="E34" s="115" t="s">
        <v>78</v>
      </c>
      <c r="F34" s="96"/>
    </row>
    <row r="35" spans="1:6" ht="12.75">
      <c r="A35" s="195" t="s">
        <v>139</v>
      </c>
      <c r="B35" s="96"/>
      <c r="C35" s="96"/>
      <c r="D35" s="182">
        <f>D5*2</f>
        <v>1825</v>
      </c>
      <c r="E35" s="115" t="s">
        <v>78</v>
      </c>
      <c r="F35" s="96"/>
    </row>
    <row r="36" spans="1:6" ht="12.75" hidden="1">
      <c r="A36" s="195" t="s">
        <v>140</v>
      </c>
      <c r="B36" s="96"/>
      <c r="C36" s="96"/>
      <c r="D36" s="182">
        <v>1550</v>
      </c>
      <c r="E36" s="115" t="s">
        <v>78</v>
      </c>
      <c r="F36" s="96"/>
    </row>
    <row r="37" spans="1:6" ht="12.75">
      <c r="A37" s="195" t="s">
        <v>141</v>
      </c>
      <c r="B37" s="96"/>
      <c r="C37" s="96"/>
      <c r="D37" s="182">
        <f>D36</f>
        <v>1550</v>
      </c>
      <c r="E37" s="115" t="s">
        <v>78</v>
      </c>
      <c r="F37" s="96"/>
    </row>
    <row r="38" spans="1:6" ht="12.75">
      <c r="A38" s="195"/>
      <c r="B38" s="96"/>
      <c r="C38" s="96"/>
      <c r="D38" s="182"/>
      <c r="E38" s="115"/>
      <c r="F38" s="96"/>
    </row>
    <row r="39" spans="1:6" ht="12.75">
      <c r="A39" s="195" t="s">
        <v>142</v>
      </c>
      <c r="B39" s="96"/>
      <c r="C39" s="116"/>
      <c r="D39" s="183">
        <f>D36/D34</f>
        <v>0.9893617021276595</v>
      </c>
      <c r="E39" s="115"/>
      <c r="F39" s="96"/>
    </row>
    <row r="40" spans="1:6" ht="13.5" thickBot="1">
      <c r="A40" s="196" t="s">
        <v>143</v>
      </c>
      <c r="B40" s="118"/>
      <c r="C40" s="118"/>
      <c r="D40" s="184">
        <f>D37/D35</f>
        <v>0.8493150684931506</v>
      </c>
      <c r="E40" s="119"/>
      <c r="F40" s="96"/>
    </row>
    <row r="41" spans="2:6" ht="12.75">
      <c r="B41" s="120"/>
      <c r="C41" s="120"/>
      <c r="E41" s="121"/>
      <c r="F41" s="96"/>
    </row>
    <row r="42" spans="1:6" ht="13.5" thickBot="1">
      <c r="A42" s="191"/>
      <c r="B42" s="96"/>
      <c r="C42" s="96"/>
      <c r="D42" s="96"/>
      <c r="E42" s="96"/>
      <c r="F42" s="96"/>
    </row>
    <row r="43" spans="1:7" ht="12.75">
      <c r="A43" s="124" t="s">
        <v>52</v>
      </c>
      <c r="B43" s="122" t="s">
        <v>53</v>
      </c>
      <c r="C43" s="112"/>
      <c r="D43" s="123" t="s">
        <v>144</v>
      </c>
      <c r="E43" s="123" t="s">
        <v>145</v>
      </c>
      <c r="F43" s="124" t="s">
        <v>146</v>
      </c>
      <c r="G43" s="125" t="s">
        <v>147</v>
      </c>
    </row>
    <row r="44" spans="1:7" ht="13.5" thickBot="1">
      <c r="A44" s="128"/>
      <c r="B44" s="117"/>
      <c r="C44" s="119"/>
      <c r="D44" s="127"/>
      <c r="E44" s="126"/>
      <c r="F44" s="128" t="s">
        <v>148</v>
      </c>
      <c r="G44" s="129"/>
    </row>
    <row r="45" spans="1:7" ht="12.75">
      <c r="A45" s="139">
        <v>1</v>
      </c>
      <c r="B45" s="98" t="s">
        <v>59</v>
      </c>
      <c r="C45" s="120"/>
      <c r="D45" s="185">
        <f>($D$39*'KS 451 Orthopädie'!E17+'KS 451 Orthopädie'!F17)/6</f>
        <v>178332.4468085106</v>
      </c>
      <c r="E45" s="187">
        <f>'KS 451 Orthopädie'!$D$17/6</f>
        <v>179875</v>
      </c>
      <c r="F45" s="185">
        <f aca="true" t="shared" si="2" ref="F45:F51">D45-E45</f>
        <v>-1542.5531914893945</v>
      </c>
      <c r="G45" s="131">
        <f aca="true" t="shared" si="3" ref="G45:G51">F45/D45</f>
        <v>-0.008649873980284438</v>
      </c>
    </row>
    <row r="46" spans="1:7" ht="12.75">
      <c r="A46" s="139">
        <v>3</v>
      </c>
      <c r="B46" s="98" t="s">
        <v>60</v>
      </c>
      <c r="C46" s="120"/>
      <c r="D46" s="185">
        <f>($D$39*'KS 451 Orthopädie'!E18+'KS 451 Orthopädie'!F18)/6</f>
        <v>26749.867021276597</v>
      </c>
      <c r="E46" s="187">
        <f>0.15*E45</f>
        <v>26981.25</v>
      </c>
      <c r="F46" s="185">
        <f t="shared" si="2"/>
        <v>-231.38297872340263</v>
      </c>
      <c r="G46" s="132">
        <f t="shared" si="3"/>
        <v>-0.008649873980284191</v>
      </c>
    </row>
    <row r="47" spans="1:7" ht="12.75">
      <c r="A47" s="139">
        <v>5</v>
      </c>
      <c r="B47" s="98" t="s">
        <v>97</v>
      </c>
      <c r="C47" s="120"/>
      <c r="D47" s="185">
        <f>($D$39*'KS 451 Orthopädie'!E19+'KS 451 Orthopädie'!F19)/6</f>
        <v>4808.333333333333</v>
      </c>
      <c r="E47" s="197">
        <v>4200</v>
      </c>
      <c r="F47" s="185">
        <f t="shared" si="2"/>
        <v>608.333333333333</v>
      </c>
      <c r="G47" s="132">
        <f t="shared" si="3"/>
        <v>0.12651646447140374</v>
      </c>
    </row>
    <row r="48" spans="1:7" ht="12.75">
      <c r="A48" s="139">
        <v>6</v>
      </c>
      <c r="B48" s="98" t="s">
        <v>62</v>
      </c>
      <c r="C48" s="120"/>
      <c r="D48" s="185">
        <f>($D$39*'KS 451 Orthopädie'!E20+'KS 451 Orthopädie'!F20)/6</f>
        <v>380.1418439716311</v>
      </c>
      <c r="E48" s="197">
        <v>230</v>
      </c>
      <c r="F48" s="185">
        <f t="shared" si="2"/>
        <v>150.1418439716311</v>
      </c>
      <c r="G48" s="132">
        <f t="shared" si="3"/>
        <v>0.394962686567164</v>
      </c>
    </row>
    <row r="49" spans="1:7" ht="12.75">
      <c r="A49" s="139">
        <v>13</v>
      </c>
      <c r="B49" s="98" t="s">
        <v>83</v>
      </c>
      <c r="C49" s="120"/>
      <c r="D49" s="185">
        <f>($D$39*'KS 451 Orthopädie'!E21+'KS 451 Orthopädie'!F21)/6</f>
        <v>3504.6099290780135</v>
      </c>
      <c r="E49" s="197">
        <v>4300</v>
      </c>
      <c r="F49" s="185">
        <f t="shared" si="2"/>
        <v>-795.3900709219865</v>
      </c>
      <c r="G49" s="132">
        <f t="shared" si="3"/>
        <v>-0.22695537792168394</v>
      </c>
    </row>
    <row r="50" spans="1:7" ht="12.75">
      <c r="A50" s="139">
        <v>14</v>
      </c>
      <c r="B50" s="98" t="s">
        <v>68</v>
      </c>
      <c r="C50" s="120"/>
      <c r="D50" s="185">
        <f>($D$39*'KS 451 Orthopädie'!E22+'KS 451 Orthopädie'!F22)/6</f>
        <v>3983.3333333333335</v>
      </c>
      <c r="E50" s="197">
        <f>1320+860</f>
        <v>2180</v>
      </c>
      <c r="F50" s="185">
        <f t="shared" si="2"/>
        <v>1803.3333333333335</v>
      </c>
      <c r="G50" s="132">
        <f t="shared" si="3"/>
        <v>0.45271966527196655</v>
      </c>
    </row>
    <row r="51" spans="1:7" ht="12.75">
      <c r="A51" s="52">
        <v>51</v>
      </c>
      <c r="B51" s="58" t="s">
        <v>69</v>
      </c>
      <c r="C51" s="79"/>
      <c r="D51" s="185">
        <f>($D$39*'KS 451 Orthopädie'!E23+'KS 451 Orthopädie'!F23)/6</f>
        <v>6617.907801418439</v>
      </c>
      <c r="E51" s="187">
        <f>123*'KS 100 U&amp;R'!$E$34</f>
        <v>6150</v>
      </c>
      <c r="F51" s="185">
        <f t="shared" si="2"/>
        <v>467.9078014184388</v>
      </c>
      <c r="G51" s="132">
        <f t="shared" si="3"/>
        <v>0.07070328198258527</v>
      </c>
    </row>
    <row r="52" spans="1:7" ht="12.75">
      <c r="A52" s="139"/>
      <c r="B52" s="98"/>
      <c r="C52" s="120"/>
      <c r="D52" s="185"/>
      <c r="E52" s="187"/>
      <c r="F52" s="185"/>
      <c r="G52" s="133"/>
    </row>
    <row r="53" spans="1:7" ht="12.75">
      <c r="A53" s="139"/>
      <c r="B53" s="98" t="s">
        <v>70</v>
      </c>
      <c r="C53" s="120"/>
      <c r="D53" s="185">
        <f>SUM(D45:D52)</f>
        <v>224376.64007092197</v>
      </c>
      <c r="E53" s="185">
        <f>SUM(E45:E52)</f>
        <v>223916.25</v>
      </c>
      <c r="F53" s="185">
        <f>SUM(F45:F52)</f>
        <v>460.39007092195266</v>
      </c>
      <c r="G53" s="132">
        <f>F53/D53</f>
        <v>0.002051862755304788</v>
      </c>
    </row>
    <row r="54" spans="1:7" ht="12.75">
      <c r="A54" s="139"/>
      <c r="B54" s="98"/>
      <c r="C54" s="120"/>
      <c r="D54" s="185"/>
      <c r="E54" s="187"/>
      <c r="F54" s="185"/>
      <c r="G54" s="133"/>
    </row>
    <row r="55" spans="1:7" ht="12.75">
      <c r="A55" s="139">
        <v>20</v>
      </c>
      <c r="B55" s="98" t="s">
        <v>71</v>
      </c>
      <c r="C55" s="120"/>
      <c r="D55" s="185">
        <f>($D$39*'KS 451 Orthopädie'!E27+'KS 451 Orthopädie'!F27)/6</f>
        <v>44666.666666666664</v>
      </c>
      <c r="E55" s="187">
        <f>D55</f>
        <v>44666.666666666664</v>
      </c>
      <c r="F55" s="185">
        <f>D55-E55</f>
        <v>0</v>
      </c>
      <c r="G55" s="132">
        <f>F55/D55</f>
        <v>0</v>
      </c>
    </row>
    <row r="56" spans="1:7" ht="12.75">
      <c r="A56" s="139">
        <v>21</v>
      </c>
      <c r="B56" s="98" t="s">
        <v>24</v>
      </c>
      <c r="C56" s="120"/>
      <c r="D56" s="185">
        <f>($D$39*'KS 451 Orthopädie'!E28+'KS 451 Orthopädie'!F28)/6</f>
        <v>11166.666666666666</v>
      </c>
      <c r="E56" s="187">
        <f>D56</f>
        <v>11166.666666666666</v>
      </c>
      <c r="F56" s="185">
        <f>D56-E56</f>
        <v>0</v>
      </c>
      <c r="G56" s="132">
        <f>F56/D56</f>
        <v>0</v>
      </c>
    </row>
    <row r="57" spans="1:7" ht="12" customHeight="1">
      <c r="A57" s="139">
        <v>50</v>
      </c>
      <c r="B57" s="98" t="s">
        <v>149</v>
      </c>
      <c r="C57" s="120"/>
      <c r="D57" s="185">
        <f>($D$39*'KS 451 Orthopädie'!E29+'KS 451 Orthopädie'!F29)/6</f>
        <v>55500</v>
      </c>
      <c r="E57" s="187">
        <v>0</v>
      </c>
      <c r="F57" s="185">
        <v>0</v>
      </c>
      <c r="G57" s="132" t="e">
        <v>#DIV/0!</v>
      </c>
    </row>
    <row r="58" spans="1:7" ht="13.5" thickBot="1">
      <c r="A58" s="128">
        <v>52</v>
      </c>
      <c r="B58" s="58" t="s">
        <v>73</v>
      </c>
      <c r="C58" s="120"/>
      <c r="D58" s="185">
        <f>($D$39*'KS 451 Orthopädie'!E30+'KS 451 Orthopädie'!F30)/6</f>
        <v>8666.666666666666</v>
      </c>
      <c r="E58" s="187">
        <f>D58</f>
        <v>8666.666666666666</v>
      </c>
      <c r="F58" s="185">
        <f>D58-E58</f>
        <v>0</v>
      </c>
      <c r="G58" s="132">
        <f>F58/D58</f>
        <v>0</v>
      </c>
    </row>
    <row r="59" spans="1:7" ht="13.5" thickBot="1">
      <c r="A59" s="191"/>
      <c r="B59" s="94" t="s">
        <v>74</v>
      </c>
      <c r="C59" s="134"/>
      <c r="D59" s="186">
        <f>SUM(D53:D58)</f>
        <v>344376.64007092203</v>
      </c>
      <c r="E59" s="186">
        <f>SUM(E53:E58)</f>
        <v>288416.25000000006</v>
      </c>
      <c r="F59" s="188">
        <f>SUM(F53:F58)</f>
        <v>460.39007092195266</v>
      </c>
      <c r="G59" s="135">
        <f>F59/D59</f>
        <v>0.0013368795015455707</v>
      </c>
    </row>
  </sheetData>
  <sheetProtection sheet="1" objects="1" scenarios="1"/>
  <printOptions horizontalCentered="1" verticalCentered="1"/>
  <pageMargins left="0.15748031496062992" right="0.15748031496062992" top="0.51" bottom="0.67" header="0.32" footer="0.19"/>
  <pageSetup fitToHeight="1" fitToWidth="1" horizontalDpi="150" verticalDpi="150" orientation="portrait" paperSize="9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22.7109375" style="1" customWidth="1"/>
    <col min="2" max="16384" width="11.421875" style="1" customWidth="1"/>
  </cols>
  <sheetData>
    <row r="1" ht="13.5" thickBot="1">
      <c r="A1" s="136" t="s">
        <v>151</v>
      </c>
    </row>
    <row r="2" ht="13.5" thickBot="1"/>
    <row r="3" spans="1:9" ht="12.75">
      <c r="A3" s="137"/>
      <c r="B3" s="123">
        <v>10</v>
      </c>
      <c r="C3" s="124">
        <v>40</v>
      </c>
      <c r="D3" s="123">
        <v>80</v>
      </c>
      <c r="E3" s="123">
        <v>100</v>
      </c>
      <c r="F3" s="125">
        <v>240</v>
      </c>
      <c r="G3" s="123">
        <v>451</v>
      </c>
      <c r="H3" s="123">
        <v>450</v>
      </c>
      <c r="I3" s="124" t="s">
        <v>7</v>
      </c>
    </row>
    <row r="4" spans="1:9" ht="12.75">
      <c r="A4" s="133"/>
      <c r="B4" s="139" t="s">
        <v>32</v>
      </c>
      <c r="C4" s="139" t="s">
        <v>55</v>
      </c>
      <c r="D4" s="139" t="s">
        <v>152</v>
      </c>
      <c r="E4" s="139" t="s">
        <v>153</v>
      </c>
      <c r="F4" s="138" t="s">
        <v>36</v>
      </c>
      <c r="G4" s="139" t="s">
        <v>37</v>
      </c>
      <c r="H4" s="139" t="s">
        <v>38</v>
      </c>
      <c r="I4" s="140"/>
    </row>
    <row r="5" spans="1:9" ht="13.5" thickBot="1">
      <c r="A5" s="129"/>
      <c r="B5" s="128"/>
      <c r="C5" s="128" t="s">
        <v>57</v>
      </c>
      <c r="D5" s="128" t="s">
        <v>58</v>
      </c>
      <c r="E5" s="128" t="s">
        <v>154</v>
      </c>
      <c r="F5" s="141"/>
      <c r="G5" s="128"/>
      <c r="H5" s="128"/>
      <c r="I5" s="142"/>
    </row>
    <row r="6" spans="1:9" ht="12.75" hidden="1">
      <c r="A6" s="137" t="s">
        <v>155</v>
      </c>
      <c r="B6" s="143">
        <v>450</v>
      </c>
      <c r="C6" s="143">
        <v>-150</v>
      </c>
      <c r="D6" s="143">
        <v>-4596.748737373735</v>
      </c>
      <c r="E6" s="143">
        <v>235</v>
      </c>
      <c r="F6" s="143">
        <v>3243</v>
      </c>
      <c r="G6" s="143">
        <f>'Soll-Ist-Vergleich KS 451 Feb.'!F59</f>
        <v>460.39007092195266</v>
      </c>
      <c r="H6" s="143">
        <v>-339</v>
      </c>
      <c r="I6" s="143">
        <f>SUM(B6:H6)</f>
        <v>-697.3586664517823</v>
      </c>
    </row>
    <row r="7" spans="1:9" ht="12.75" hidden="1">
      <c r="A7" s="133" t="s">
        <v>156</v>
      </c>
      <c r="B7" s="145"/>
      <c r="C7" s="145"/>
      <c r="D7" s="145"/>
      <c r="E7" s="145"/>
      <c r="F7" s="145"/>
      <c r="G7" s="145"/>
      <c r="H7" s="145"/>
      <c r="I7" s="145">
        <f>SUM(B7:H7)</f>
        <v>0</v>
      </c>
    </row>
    <row r="8" spans="1:9" ht="13.5" hidden="1" thickBot="1">
      <c r="A8" s="129" t="s">
        <v>157</v>
      </c>
      <c r="B8" s="144"/>
      <c r="C8" s="144"/>
      <c r="D8" s="144"/>
      <c r="E8" s="144"/>
      <c r="F8" s="144"/>
      <c r="G8" s="144"/>
      <c r="H8" s="144"/>
      <c r="I8" s="145">
        <f>SUM(B8:H8)</f>
        <v>0</v>
      </c>
    </row>
    <row r="9" spans="1:9" ht="13.5" thickBot="1">
      <c r="A9" s="146" t="s">
        <v>7</v>
      </c>
      <c r="B9" s="180">
        <f aca="true" t="shared" si="0" ref="B9:I9">SUM(B6:B8)</f>
        <v>450</v>
      </c>
      <c r="C9" s="180">
        <f t="shared" si="0"/>
        <v>-150</v>
      </c>
      <c r="D9" s="180">
        <f t="shared" si="0"/>
        <v>-4596.748737373735</v>
      </c>
      <c r="E9" s="180">
        <f t="shared" si="0"/>
        <v>235</v>
      </c>
      <c r="F9" s="180">
        <f t="shared" si="0"/>
        <v>3243</v>
      </c>
      <c r="G9" s="180">
        <f t="shared" si="0"/>
        <v>460.39007092195266</v>
      </c>
      <c r="H9" s="180">
        <f t="shared" si="0"/>
        <v>-339</v>
      </c>
      <c r="I9" s="180">
        <f t="shared" si="0"/>
        <v>-697.3586664517823</v>
      </c>
    </row>
    <row r="10" ht="13.5" thickBot="1"/>
    <row r="11" ht="13.5" thickBot="1">
      <c r="A11" s="146" t="s">
        <v>158</v>
      </c>
    </row>
    <row r="13" spans="1:2" ht="12.75">
      <c r="A13" s="147" t="s">
        <v>208</v>
      </c>
      <c r="B13" s="181">
        <v>2063</v>
      </c>
    </row>
    <row r="14" spans="1:2" ht="12.75">
      <c r="A14" s="148" t="s">
        <v>159</v>
      </c>
      <c r="B14" s="178">
        <f>I9</f>
        <v>-697.3586664517823</v>
      </c>
    </row>
    <row r="15" spans="1:2" s="109" customFormat="1" ht="12.75">
      <c r="A15" s="149" t="s">
        <v>158</v>
      </c>
      <c r="B15" s="179">
        <f>SUM(B13:B14)</f>
        <v>1365.6413335482177</v>
      </c>
    </row>
    <row r="16" ht="12.75">
      <c r="B16" s="14"/>
    </row>
  </sheetData>
  <sheetProtection sheet="1" objects="1" scenarios="1"/>
  <printOptions horizontalCentered="1" verticalCentered="1"/>
  <pageMargins left="0.38" right="0.27" top="0.984251968503937" bottom="4.18" header="0.5118110236220472" footer="0.5118110236220472"/>
  <pageSetup fitToHeight="1" fitToWidth="1" horizontalDpi="300" verticalDpi="300" orientation="landscape" paperSize="9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H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190" customWidth="1"/>
    <col min="2" max="2" width="5.00390625" style="1" customWidth="1"/>
    <col min="3" max="3" width="18.140625" style="1" customWidth="1"/>
    <col min="4" max="8" width="15.8515625" style="1" customWidth="1"/>
    <col min="9" max="16384" width="11.421875" style="1" customWidth="1"/>
  </cols>
  <sheetData>
    <row r="1" ht="12.75">
      <c r="A1" s="295" t="s">
        <v>197</v>
      </c>
    </row>
    <row r="2" ht="12.75">
      <c r="A2" s="295"/>
    </row>
    <row r="3" spans="1:5" ht="12.75">
      <c r="A3" s="2" t="s">
        <v>23</v>
      </c>
      <c r="D3" s="3"/>
      <c r="E3" s="4"/>
    </row>
    <row r="4" spans="1:8" ht="12.75">
      <c r="A4" s="295" t="s">
        <v>24</v>
      </c>
      <c r="C4" s="230">
        <f>D29</f>
        <v>0.05</v>
      </c>
      <c r="G4" s="1" t="s">
        <v>25</v>
      </c>
      <c r="H4" s="169">
        <f>H14/G14</f>
        <v>450</v>
      </c>
    </row>
    <row r="5" spans="1:7" s="313" customFormat="1" ht="21" customHeight="1">
      <c r="A5" s="312" t="s">
        <v>26</v>
      </c>
      <c r="G5" s="313" t="s">
        <v>27</v>
      </c>
    </row>
    <row r="6" spans="1:8" s="8" customFormat="1" ht="33.75" customHeight="1">
      <c r="A6" s="7"/>
      <c r="B6" s="5"/>
      <c r="C6" s="6"/>
      <c r="D6" s="7" t="s">
        <v>28</v>
      </c>
      <c r="E6" s="7" t="s">
        <v>29</v>
      </c>
      <c r="F6" s="7" t="s">
        <v>30</v>
      </c>
      <c r="G6" s="7" t="s">
        <v>31</v>
      </c>
      <c r="H6" s="7" t="s">
        <v>25</v>
      </c>
    </row>
    <row r="7" spans="1:8" ht="12.75">
      <c r="A7" s="291">
        <v>10</v>
      </c>
      <c r="B7" s="9" t="s">
        <v>32</v>
      </c>
      <c r="C7" s="10"/>
      <c r="D7" s="285">
        <v>4200000</v>
      </c>
      <c r="E7" s="280">
        <f aca="true" t="shared" si="0" ref="E7:E13">$C$4*D7</f>
        <v>210000</v>
      </c>
      <c r="F7" s="285">
        <v>910000</v>
      </c>
      <c r="G7" s="287">
        <v>0</v>
      </c>
      <c r="H7" s="280">
        <v>0</v>
      </c>
    </row>
    <row r="8" spans="1:8" ht="12.75">
      <c r="A8" s="292">
        <v>40</v>
      </c>
      <c r="B8" s="163" t="s">
        <v>33</v>
      </c>
      <c r="C8" s="10"/>
      <c r="D8" s="285">
        <v>1080000</v>
      </c>
      <c r="E8" s="280">
        <f t="shared" si="0"/>
        <v>54000</v>
      </c>
      <c r="F8" s="285">
        <v>218000</v>
      </c>
      <c r="G8" s="285">
        <v>460</v>
      </c>
      <c r="H8" s="280">
        <f aca="true" t="shared" si="1" ref="H8:H13">G8*$H$4</f>
        <v>207000</v>
      </c>
    </row>
    <row r="9" spans="1:8" ht="12.75">
      <c r="A9" s="291">
        <v>80</v>
      </c>
      <c r="B9" s="9" t="s">
        <v>34</v>
      </c>
      <c r="C9" s="10"/>
      <c r="D9" s="285">
        <v>120000</v>
      </c>
      <c r="E9" s="280">
        <f t="shared" si="0"/>
        <v>6000</v>
      </c>
      <c r="F9" s="285">
        <v>25000</v>
      </c>
      <c r="G9" s="287">
        <v>340</v>
      </c>
      <c r="H9" s="280">
        <f t="shared" si="1"/>
        <v>153000</v>
      </c>
    </row>
    <row r="10" spans="1:8" ht="12.75">
      <c r="A10" s="291">
        <v>100</v>
      </c>
      <c r="B10" s="9" t="s">
        <v>35</v>
      </c>
      <c r="C10" s="10"/>
      <c r="D10" s="285">
        <v>120000</v>
      </c>
      <c r="E10" s="280">
        <f t="shared" si="0"/>
        <v>6000</v>
      </c>
      <c r="F10" s="285">
        <v>22000</v>
      </c>
      <c r="G10" s="287">
        <v>220</v>
      </c>
      <c r="H10" s="280">
        <f t="shared" si="1"/>
        <v>99000</v>
      </c>
    </row>
    <row r="11" spans="1:8" ht="12.75">
      <c r="A11" s="291">
        <v>240</v>
      </c>
      <c r="B11" s="9" t="s">
        <v>36</v>
      </c>
      <c r="C11" s="10"/>
      <c r="D11" s="285">
        <v>1980000</v>
      </c>
      <c r="E11" s="280">
        <f t="shared" si="0"/>
        <v>99000</v>
      </c>
      <c r="F11" s="285">
        <v>296000</v>
      </c>
      <c r="G11" s="287">
        <v>400</v>
      </c>
      <c r="H11" s="280">
        <f t="shared" si="1"/>
        <v>180000</v>
      </c>
    </row>
    <row r="12" spans="1:8" ht="12.75">
      <c r="A12" s="291">
        <v>451</v>
      </c>
      <c r="B12" s="9" t="s">
        <v>37</v>
      </c>
      <c r="C12" s="10"/>
      <c r="D12" s="285">
        <v>1340000</v>
      </c>
      <c r="E12" s="280">
        <f t="shared" si="0"/>
        <v>67000</v>
      </c>
      <c r="F12" s="285">
        <v>268000</v>
      </c>
      <c r="G12" s="287">
        <v>740</v>
      </c>
      <c r="H12" s="280">
        <f t="shared" si="1"/>
        <v>333000</v>
      </c>
    </row>
    <row r="13" spans="1:8" ht="12.75">
      <c r="A13" s="293">
        <v>450</v>
      </c>
      <c r="B13" s="17" t="s">
        <v>38</v>
      </c>
      <c r="C13" s="17"/>
      <c r="D13" s="286">
        <v>1460000</v>
      </c>
      <c r="E13" s="281">
        <f t="shared" si="0"/>
        <v>73000</v>
      </c>
      <c r="F13" s="286">
        <v>221000</v>
      </c>
      <c r="G13" s="288">
        <v>1340</v>
      </c>
      <c r="H13" s="281">
        <f t="shared" si="1"/>
        <v>603000</v>
      </c>
    </row>
    <row r="14" spans="1:8" s="168" customFormat="1" ht="12.75">
      <c r="A14" s="294"/>
      <c r="B14" s="228"/>
      <c r="C14" s="228"/>
      <c r="D14" s="281">
        <f>SUM(D7:D13)</f>
        <v>10300000</v>
      </c>
      <c r="E14" s="281">
        <f>SUM(E7:E13)</f>
        <v>515000</v>
      </c>
      <c r="F14" s="281">
        <f>SUM(F7:F13)</f>
        <v>1960000</v>
      </c>
      <c r="G14" s="281">
        <f>SUM(G7:G13)</f>
        <v>3500</v>
      </c>
      <c r="H14" s="281">
        <f>'Administrative Kostenstellen'!$D$26</f>
        <v>1575000</v>
      </c>
    </row>
    <row r="15" spans="1:8" ht="12.75">
      <c r="A15" s="295"/>
      <c r="B15" s="11"/>
      <c r="D15" s="12" t="s">
        <v>39</v>
      </c>
      <c r="E15" s="282">
        <f>E14+F14</f>
        <v>2475000</v>
      </c>
      <c r="F15" s="13"/>
      <c r="H15" s="14"/>
    </row>
    <row r="16" spans="1:8" ht="12.75">
      <c r="A16" s="295"/>
      <c r="D16" s="14"/>
      <c r="H16" s="14"/>
    </row>
    <row r="17" spans="1:8" ht="12.75">
      <c r="A17" s="295"/>
      <c r="D17" s="14"/>
      <c r="H17" s="14"/>
    </row>
    <row r="18" spans="1:6" ht="12.75">
      <c r="A18" s="15" t="s">
        <v>40</v>
      </c>
      <c r="E18" s="3"/>
      <c r="F18" s="14"/>
    </row>
    <row r="19" spans="1:6" ht="12.75">
      <c r="A19" s="15"/>
      <c r="E19" s="3"/>
      <c r="F19" s="14"/>
    </row>
    <row r="20" spans="1:6" ht="12.75">
      <c r="A20" s="15" t="s">
        <v>41</v>
      </c>
      <c r="D20" s="289">
        <v>90000</v>
      </c>
      <c r="E20" s="18"/>
      <c r="F20" s="14"/>
    </row>
    <row r="21" spans="1:6" ht="12.75">
      <c r="A21" s="20" t="s">
        <v>198</v>
      </c>
      <c r="D21" s="309">
        <f>E21*D14</f>
        <v>0</v>
      </c>
      <c r="E21" s="310">
        <v>0</v>
      </c>
      <c r="F21" s="14" t="s">
        <v>199</v>
      </c>
    </row>
    <row r="22" spans="1:6" ht="12.75">
      <c r="A22" s="296" t="s">
        <v>42</v>
      </c>
      <c r="B22" s="19"/>
      <c r="C22" s="19"/>
      <c r="D22" s="229">
        <f>D20/(1-E22)*E22</f>
        <v>30000</v>
      </c>
      <c r="E22" s="310">
        <v>0.25</v>
      </c>
      <c r="F22" s="14" t="s">
        <v>200</v>
      </c>
    </row>
    <row r="23" spans="1:6" ht="12.75">
      <c r="A23" s="15" t="s">
        <v>43</v>
      </c>
      <c r="D23" s="171">
        <f>SUM(D20:D22)</f>
        <v>120000</v>
      </c>
      <c r="E23" s="3"/>
      <c r="F23" s="14"/>
    </row>
    <row r="24" spans="1:8" ht="12.75">
      <c r="A24" s="20" t="s">
        <v>44</v>
      </c>
      <c r="D24" s="14"/>
      <c r="E24" s="21"/>
      <c r="F24" s="109" t="s">
        <v>205</v>
      </c>
      <c r="H24" s="310">
        <v>0.2</v>
      </c>
    </row>
    <row r="25" spans="1:8" ht="12.75">
      <c r="A25" s="295"/>
      <c r="B25" s="20" t="s">
        <v>45</v>
      </c>
      <c r="D25" s="289">
        <v>150000</v>
      </c>
      <c r="E25" s="22"/>
      <c r="F25" s="1" t="s">
        <v>207</v>
      </c>
      <c r="H25" s="309">
        <f>Kostenartenrechnung!C22</f>
        <v>11749137.499999974</v>
      </c>
    </row>
    <row r="26" spans="1:8" ht="12.75">
      <c r="A26" s="295"/>
      <c r="B26" s="20" t="s">
        <v>46</v>
      </c>
      <c r="D26" s="289">
        <v>220000</v>
      </c>
      <c r="E26" s="22"/>
      <c r="F26" s="1" t="s">
        <v>204</v>
      </c>
      <c r="H26" s="21">
        <v>2250000</v>
      </c>
    </row>
    <row r="27" spans="1:8" ht="13.5" thickBot="1">
      <c r="A27" s="20" t="s">
        <v>47</v>
      </c>
      <c r="B27" s="14"/>
      <c r="C27" s="14"/>
      <c r="D27" s="290">
        <v>25000</v>
      </c>
      <c r="E27" s="16"/>
      <c r="F27" s="1" t="str">
        <f>IF(H27&lt;=0,"Geplanter Verlust","Geplanter Gewinn")</f>
        <v>Geplanter Verlust</v>
      </c>
      <c r="H27" s="309">
        <f>Kostenträgerrechnung!B18</f>
        <v>-3987.4999999236315</v>
      </c>
    </row>
    <row r="28" spans="1:8" ht="13.5" thickBot="1">
      <c r="A28" s="23" t="s">
        <v>48</v>
      </c>
      <c r="B28" s="24"/>
      <c r="C28" s="24"/>
      <c r="D28" s="283">
        <f>SUM(D23:D27)</f>
        <v>515000</v>
      </c>
      <c r="F28" s="1" t="s">
        <v>206</v>
      </c>
      <c r="H28" s="311">
        <f>(H26+H27)/H25</f>
        <v>0.19116403225343828</v>
      </c>
    </row>
    <row r="29" spans="3:8" ht="13.5" thickBot="1">
      <c r="C29" s="25" t="s">
        <v>49</v>
      </c>
      <c r="D29" s="284">
        <f>D28/D14</f>
        <v>0.05</v>
      </c>
      <c r="F29" s="1" t="str">
        <f>"Gewinnbedarf für Reserven von  "&amp;H24*100&amp;"%"</f>
        <v>Gewinnbedarf für Reserven von  20%</v>
      </c>
      <c r="H29" s="309">
        <f>H25*H24-H26</f>
        <v>99827.49999999488</v>
      </c>
    </row>
    <row r="30" spans="3:4" ht="12.75">
      <c r="C30" s="26"/>
      <c r="D30" s="27"/>
    </row>
  </sheetData>
  <sheetProtection sheet="1"/>
  <printOptions horizontalCentered="1" verticalCentered="1"/>
  <pageMargins left="0.7086614173228347" right="0.2755905511811024" top="0.7480314960629921" bottom="1.28" header="0.5118110236220472" footer="0.64"/>
  <pageSetup fitToHeight="1" fitToWidth="1" horizontalDpi="150" verticalDpi="150" orientation="landscape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28125" style="274" customWidth="1"/>
    <col min="2" max="2" width="26.421875" style="43" customWidth="1"/>
    <col min="3" max="9" width="11.7109375" style="43" customWidth="1"/>
    <col min="10" max="16384" width="11.421875" style="43" customWidth="1"/>
  </cols>
  <sheetData>
    <row r="1" spans="1:6" ht="13.5" thickBot="1">
      <c r="A1" s="272" t="s">
        <v>50</v>
      </c>
      <c r="B1" s="40"/>
      <c r="C1" s="40" t="s">
        <v>51</v>
      </c>
      <c r="D1" s="40"/>
      <c r="E1" s="40"/>
      <c r="F1" s="41"/>
    </row>
    <row r="2" spans="1:6" ht="9.75" customHeight="1" thickBot="1">
      <c r="A2" s="273"/>
      <c r="B2" s="42"/>
      <c r="C2" s="42"/>
      <c r="D2" s="42"/>
      <c r="E2" s="42"/>
      <c r="F2" s="42"/>
    </row>
    <row r="3" spans="1:6" ht="12.75">
      <c r="A3" s="47" t="s">
        <v>52</v>
      </c>
      <c r="B3" s="44" t="s">
        <v>53</v>
      </c>
      <c r="C3" s="45" t="s">
        <v>7</v>
      </c>
      <c r="D3" s="45">
        <v>10</v>
      </c>
      <c r="E3" s="47">
        <v>40</v>
      </c>
      <c r="F3" s="46">
        <v>80</v>
      </c>
    </row>
    <row r="4" spans="1:6" ht="12.75" hidden="1">
      <c r="A4" s="52"/>
      <c r="B4" s="48"/>
      <c r="C4" s="49"/>
      <c r="D4" s="51"/>
      <c r="E4" s="52"/>
      <c r="F4" s="50"/>
    </row>
    <row r="5" spans="1:6" ht="12.75" hidden="1">
      <c r="A5" s="52"/>
      <c r="B5" s="48" t="s">
        <v>54</v>
      </c>
      <c r="C5" s="49">
        <f>SUM(D5:E5)</f>
        <v>4</v>
      </c>
      <c r="D5" s="51">
        <v>1</v>
      </c>
      <c r="E5" s="52">
        <v>3</v>
      </c>
      <c r="F5" s="50">
        <v>1</v>
      </c>
    </row>
    <row r="6" spans="1:6" ht="12.75">
      <c r="A6" s="52"/>
      <c r="B6" s="53"/>
      <c r="C6" s="49"/>
      <c r="D6" s="52" t="s">
        <v>32</v>
      </c>
      <c r="E6" s="52" t="s">
        <v>55</v>
      </c>
      <c r="F6" s="50" t="s">
        <v>56</v>
      </c>
    </row>
    <row r="7" spans="1:6" ht="13.5" thickBot="1">
      <c r="A7" s="57"/>
      <c r="B7" s="54"/>
      <c r="C7" s="55"/>
      <c r="D7" s="57"/>
      <c r="E7" s="57" t="s">
        <v>57</v>
      </c>
      <c r="F7" s="56" t="s">
        <v>58</v>
      </c>
    </row>
    <row r="8" spans="1:6" ht="12.75">
      <c r="A8" s="52">
        <v>1</v>
      </c>
      <c r="B8" s="58" t="s">
        <v>59</v>
      </c>
      <c r="C8" s="276">
        <f>SUM(D8:F8)</f>
        <v>1244000</v>
      </c>
      <c r="D8" s="60">
        <v>222000</v>
      </c>
      <c r="E8" s="60">
        <v>879000</v>
      </c>
      <c r="F8" s="60">
        <v>143000</v>
      </c>
    </row>
    <row r="9" spans="1:6" ht="12.75">
      <c r="A9" s="52">
        <v>3</v>
      </c>
      <c r="B9" s="58" t="s">
        <v>60</v>
      </c>
      <c r="C9" s="276">
        <f aca="true" t="shared" si="0" ref="C9:C18">SUM(D9:F9)</f>
        <v>186600</v>
      </c>
      <c r="D9" s="278">
        <f>0.15*SUM(D8:D8)</f>
        <v>33300</v>
      </c>
      <c r="E9" s="278">
        <f>0.15*SUM(E8:E8)</f>
        <v>131850</v>
      </c>
      <c r="F9" s="244">
        <f>0.15*SUM(F8:F8)</f>
        <v>21450</v>
      </c>
    </row>
    <row r="10" spans="1:6" ht="12.75">
      <c r="A10" s="52">
        <v>5</v>
      </c>
      <c r="B10" s="86" t="s">
        <v>61</v>
      </c>
      <c r="C10" s="276">
        <f t="shared" si="0"/>
        <v>89700</v>
      </c>
      <c r="D10" s="60">
        <v>1000</v>
      </c>
      <c r="E10" s="60">
        <v>87500</v>
      </c>
      <c r="F10" s="60">
        <v>1200</v>
      </c>
    </row>
    <row r="11" spans="1:6" ht="12.75">
      <c r="A11" s="52">
        <v>6</v>
      </c>
      <c r="B11" s="58" t="s">
        <v>62</v>
      </c>
      <c r="C11" s="276">
        <f t="shared" si="0"/>
        <v>24860</v>
      </c>
      <c r="D11" s="60">
        <v>500</v>
      </c>
      <c r="E11" s="60">
        <v>24000</v>
      </c>
      <c r="F11" s="60">
        <v>360</v>
      </c>
    </row>
    <row r="12" spans="1:6" ht="12.75">
      <c r="A12" s="52">
        <v>7</v>
      </c>
      <c r="B12" s="58" t="s">
        <v>63</v>
      </c>
      <c r="C12" s="276">
        <f t="shared" si="0"/>
        <v>20320</v>
      </c>
      <c r="D12" s="60">
        <v>0</v>
      </c>
      <c r="E12" s="60">
        <v>19600</v>
      </c>
      <c r="F12" s="60">
        <v>720</v>
      </c>
    </row>
    <row r="13" spans="1:6" ht="12.75">
      <c r="A13" s="52">
        <v>8</v>
      </c>
      <c r="B13" s="58" t="s">
        <v>64</v>
      </c>
      <c r="C13" s="276">
        <f t="shared" si="0"/>
        <v>23350</v>
      </c>
      <c r="D13" s="60">
        <v>23350</v>
      </c>
      <c r="E13" s="61">
        <v>0</v>
      </c>
      <c r="F13" s="60">
        <v>0</v>
      </c>
    </row>
    <row r="14" spans="1:6" ht="12.75">
      <c r="A14" s="52">
        <v>9</v>
      </c>
      <c r="B14" s="58" t="s">
        <v>65</v>
      </c>
      <c r="C14" s="276">
        <f t="shared" si="0"/>
        <v>36000</v>
      </c>
      <c r="D14" s="60">
        <v>36000</v>
      </c>
      <c r="E14" s="61">
        <v>0</v>
      </c>
      <c r="F14" s="60">
        <v>0</v>
      </c>
    </row>
    <row r="15" spans="1:6" ht="12.75">
      <c r="A15" s="52">
        <v>10</v>
      </c>
      <c r="B15" s="58" t="s">
        <v>66</v>
      </c>
      <c r="C15" s="276">
        <f t="shared" si="0"/>
        <v>38000</v>
      </c>
      <c r="D15" s="60">
        <v>38000</v>
      </c>
      <c r="E15" s="61">
        <v>0</v>
      </c>
      <c r="F15" s="60">
        <v>0</v>
      </c>
    </row>
    <row r="16" spans="1:6" ht="12.75">
      <c r="A16" s="52">
        <v>13</v>
      </c>
      <c r="B16" s="58" t="s">
        <v>67</v>
      </c>
      <c r="C16" s="276">
        <f t="shared" si="0"/>
        <v>49600</v>
      </c>
      <c r="D16" s="60">
        <v>24000</v>
      </c>
      <c r="E16" s="60">
        <v>23360</v>
      </c>
      <c r="F16" s="60">
        <v>2240</v>
      </c>
    </row>
    <row r="17" spans="1:6" ht="12.75">
      <c r="A17" s="52">
        <v>14</v>
      </c>
      <c r="B17" s="58" t="s">
        <v>68</v>
      </c>
      <c r="C17" s="276">
        <f t="shared" si="0"/>
        <v>147950</v>
      </c>
      <c r="D17" s="60">
        <f>17400+1950</f>
        <v>19350</v>
      </c>
      <c r="E17" s="60">
        <v>125600</v>
      </c>
      <c r="F17" s="60">
        <v>3000</v>
      </c>
    </row>
    <row r="18" spans="1:6" ht="12.75">
      <c r="A18" s="52">
        <v>51</v>
      </c>
      <c r="B18" s="58" t="s">
        <v>69</v>
      </c>
      <c r="C18" s="276">
        <f t="shared" si="0"/>
        <v>37500</v>
      </c>
      <c r="D18" s="244">
        <f>'KS 100 U&amp;R'!D9*'KS 100 U&amp;R'!$E$34</f>
        <v>25000</v>
      </c>
      <c r="E18" s="244">
        <f>'KS 100 U&amp;R'!D10*'KS 100 U&amp;R'!$E$34</f>
        <v>10000</v>
      </c>
      <c r="F18" s="244">
        <f>'KS 100 U&amp;R'!D6*'KS 100 U&amp;R'!$E$34</f>
        <v>2500</v>
      </c>
    </row>
    <row r="19" spans="1:6" ht="12.75">
      <c r="A19" s="52"/>
      <c r="B19" s="58"/>
      <c r="C19" s="276"/>
      <c r="D19" s="59"/>
      <c r="E19" s="59"/>
      <c r="F19" s="244"/>
    </row>
    <row r="20" spans="1:6" ht="12.75">
      <c r="A20" s="52"/>
      <c r="B20" s="58" t="s">
        <v>70</v>
      </c>
      <c r="C20" s="276">
        <f>SUM(C8:C19)</f>
        <v>1897880</v>
      </c>
      <c r="D20" s="276">
        <f>SUM(D8:D19)</f>
        <v>422500</v>
      </c>
      <c r="E20" s="276">
        <f>SUM(E8:E19)</f>
        <v>1300910</v>
      </c>
      <c r="F20" s="276">
        <f>SUM(F8:F19)</f>
        <v>174470</v>
      </c>
    </row>
    <row r="21" spans="1:6" ht="12.75">
      <c r="A21" s="52"/>
      <c r="B21" s="58"/>
      <c r="C21" s="276"/>
      <c r="D21" s="59"/>
      <c r="E21" s="59"/>
      <c r="F21" s="60"/>
    </row>
    <row r="22" spans="1:6" ht="12.75">
      <c r="A22" s="52">
        <v>20</v>
      </c>
      <c r="B22" s="58" t="s">
        <v>71</v>
      </c>
      <c r="C22" s="276">
        <f>SUM(D22:F22)</f>
        <v>1153000</v>
      </c>
      <c r="D22" s="244">
        <f>LOOKUP(D$3,'Anlagenspiegel &amp; Raumzuteilung'!$A:$F)</f>
        <v>910000</v>
      </c>
      <c r="E22" s="244">
        <f>LOOKUP(E$3,'Anlagenspiegel &amp; Raumzuteilung'!$A:$F)</f>
        <v>218000</v>
      </c>
      <c r="F22" s="244">
        <f>LOOKUP(F$3,'Anlagenspiegel &amp; Raumzuteilung'!$A:$F)</f>
        <v>25000</v>
      </c>
    </row>
    <row r="23" spans="1:6" ht="12.75">
      <c r="A23" s="52">
        <v>21</v>
      </c>
      <c r="B23" s="58" t="s">
        <v>24</v>
      </c>
      <c r="C23" s="276">
        <f>SUM(D23:F23)</f>
        <v>270000</v>
      </c>
      <c r="D23" s="244">
        <f>LOOKUP(D$3,'Anlagenspiegel &amp; Raumzuteilung'!$A:$E)</f>
        <v>210000</v>
      </c>
      <c r="E23" s="244">
        <f>LOOKUP(E$3,'Anlagenspiegel &amp; Raumzuteilung'!$A:$E)</f>
        <v>54000</v>
      </c>
      <c r="F23" s="244">
        <f>LOOKUP(F$3,'Anlagenspiegel &amp; Raumzuteilung'!$A:$E)</f>
        <v>6000</v>
      </c>
    </row>
    <row r="24" spans="1:6" ht="12.75">
      <c r="A24" s="52">
        <v>50</v>
      </c>
      <c r="B24" s="58" t="s">
        <v>72</v>
      </c>
      <c r="C24" s="276">
        <f>SUM(D24:F24)</f>
        <v>359999.99999999977</v>
      </c>
      <c r="D24" s="244">
        <f>LOOKUP(D$3,'Anlagenspiegel &amp; Raumzuteilung'!$A:$H)</f>
        <v>0</v>
      </c>
      <c r="E24" s="244">
        <f>LOOKUP(E$3,'Anlagenspiegel &amp; Raumzuteilung'!$A:$H)</f>
        <v>207000</v>
      </c>
      <c r="F24" s="244">
        <f>LOOKUP(F$3,'Anlagenspiegel &amp; Raumzuteilung'!$A:$H)</f>
        <v>153000</v>
      </c>
    </row>
    <row r="25" spans="1:6" ht="13.5" thickBot="1">
      <c r="A25" s="57">
        <v>52</v>
      </c>
      <c r="B25" s="62" t="s">
        <v>73</v>
      </c>
      <c r="C25" s="276">
        <f>SUM(D25:F25)</f>
        <v>48749.999999999985</v>
      </c>
      <c r="D25" s="245">
        <f>D18/'KS 100 U&amp;R'!$E$34*'KS 100 U&amp;R'!$F$34</f>
        <v>32500</v>
      </c>
      <c r="E25" s="245">
        <f>E18/'KS 100 U&amp;R'!$E$34*'KS 100 U&amp;R'!$F$34</f>
        <v>13000</v>
      </c>
      <c r="F25" s="245">
        <f>F18/'KS 100 U&amp;R'!$E$34*'KS 100 U&amp;R'!$F$34</f>
        <v>3250</v>
      </c>
    </row>
    <row r="26" spans="1:6" ht="18" customHeight="1" thickBot="1">
      <c r="A26" s="273"/>
      <c r="B26" s="63" t="s">
        <v>74</v>
      </c>
      <c r="C26" s="277">
        <f>SUM(C20:C25)</f>
        <v>3729630</v>
      </c>
      <c r="D26" s="277">
        <f>SUM(D20:D25)</f>
        <v>1575000</v>
      </c>
      <c r="E26" s="279">
        <f>SUM(E20:E25)</f>
        <v>1792910</v>
      </c>
      <c r="F26" s="279">
        <f>SUM(F20:F25)</f>
        <v>361720</v>
      </c>
    </row>
    <row r="28" ht="12.75">
      <c r="D28" s="152"/>
    </row>
  </sheetData>
  <sheetProtection sheet="1" objects="1" scenarios="1"/>
  <printOptions horizontalCentered="1" verticalCentered="1"/>
  <pageMargins left="0.2755905511811024" right="0.35433070866141736" top="0.4330708661417323" bottom="5.62" header="0.5118110236220472" footer="0.7480314960629921"/>
  <pageSetup fitToHeight="1" fitToWidth="1" horizontalDpi="150" verticalDpi="150" orientation="portrait" paperSize="9" r:id="rId1"/>
  <headerFooter alignWithMargins="0">
    <oddFooter>&amp;L&amp;A</oddFooter>
  </headerFooter>
  <rowBreaks count="1" manualBreakCount="1">
    <brk id="5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252" customWidth="1"/>
    <col min="2" max="2" width="24.7109375" style="67" customWidth="1"/>
    <col min="3" max="3" width="8.421875" style="67" customWidth="1"/>
    <col min="4" max="6" width="16.00390625" style="67" customWidth="1"/>
    <col min="7" max="7" width="0" style="67" hidden="1" customWidth="1"/>
    <col min="8" max="16384" width="11.421875" style="67" customWidth="1"/>
  </cols>
  <sheetData>
    <row r="1" spans="1:5" ht="13.5" thickBot="1">
      <c r="A1" s="257" t="s">
        <v>50</v>
      </c>
      <c r="B1" s="65"/>
      <c r="C1" s="65"/>
      <c r="D1" s="65" t="s">
        <v>75</v>
      </c>
      <c r="E1" s="66"/>
    </row>
    <row r="2" spans="1:6" ht="13.5" thickBot="1">
      <c r="A2" s="259"/>
      <c r="B2" s="68"/>
      <c r="C2" s="68"/>
      <c r="D2" s="68"/>
      <c r="E2" s="68"/>
      <c r="F2" s="68"/>
    </row>
    <row r="3" spans="1:6" ht="12.75">
      <c r="A3" s="261"/>
      <c r="B3" s="69"/>
      <c r="C3" s="69"/>
      <c r="D3" s="70"/>
      <c r="E3" s="71"/>
      <c r="F3" s="68"/>
    </row>
    <row r="4" spans="1:6" ht="12.75">
      <c r="A4" s="269" t="s">
        <v>76</v>
      </c>
      <c r="B4" s="79"/>
      <c r="C4" s="79"/>
      <c r="D4" s="151"/>
      <c r="E4" s="74"/>
      <c r="F4" s="68"/>
    </row>
    <row r="5" spans="1:9" ht="12.75">
      <c r="A5" s="269"/>
      <c r="B5" s="79" t="s">
        <v>36</v>
      </c>
      <c r="C5" s="79"/>
      <c r="D5" s="267">
        <f>'KS 240 Radiologie'!G20</f>
        <v>400</v>
      </c>
      <c r="E5" s="74"/>
      <c r="F5" s="68"/>
      <c r="G5" s="75"/>
      <c r="H5" s="75"/>
      <c r="I5" s="151"/>
    </row>
    <row r="6" spans="1:9" ht="12.75">
      <c r="A6" s="269"/>
      <c r="B6" s="79" t="s">
        <v>34</v>
      </c>
      <c r="C6" s="79"/>
      <c r="D6" s="270">
        <v>50</v>
      </c>
      <c r="E6" s="74"/>
      <c r="F6" s="68"/>
      <c r="G6" s="75"/>
      <c r="H6" s="75"/>
      <c r="I6" s="151"/>
    </row>
    <row r="7" spans="1:9" ht="12.75">
      <c r="A7" s="269"/>
      <c r="B7" s="79" t="s">
        <v>37</v>
      </c>
      <c r="C7" s="79"/>
      <c r="D7" s="267">
        <f>'KS 451 Orthopädie'!G24</f>
        <v>800</v>
      </c>
      <c r="E7" s="74"/>
      <c r="F7" s="68"/>
      <c r="G7" s="75"/>
      <c r="H7" s="75"/>
      <c r="I7" s="151"/>
    </row>
    <row r="8" spans="1:9" ht="12.75">
      <c r="A8" s="269"/>
      <c r="B8" s="79" t="s">
        <v>38</v>
      </c>
      <c r="C8" s="79"/>
      <c r="D8" s="267">
        <f>'KS 450 Chirurgie'!G24</f>
        <v>900</v>
      </c>
      <c r="E8" s="74"/>
      <c r="F8" s="68"/>
      <c r="G8" s="75"/>
      <c r="H8" s="75"/>
      <c r="I8" s="151"/>
    </row>
    <row r="9" spans="1:9" ht="12.75">
      <c r="A9" s="269"/>
      <c r="B9" s="79" t="s">
        <v>32</v>
      </c>
      <c r="C9" s="79"/>
      <c r="D9" s="270">
        <v>500</v>
      </c>
      <c r="E9" s="74"/>
      <c r="F9" s="68"/>
      <c r="G9" s="75"/>
      <c r="H9" s="75"/>
      <c r="I9" s="151"/>
    </row>
    <row r="10" spans="1:9" ht="12.75">
      <c r="A10" s="269"/>
      <c r="B10" s="79" t="s">
        <v>33</v>
      </c>
      <c r="C10" s="79"/>
      <c r="D10" s="270">
        <v>200</v>
      </c>
      <c r="E10" s="74"/>
      <c r="F10" s="68"/>
      <c r="G10" s="75"/>
      <c r="H10" s="75"/>
      <c r="I10" s="151"/>
    </row>
    <row r="11" spans="1:6" ht="12.75">
      <c r="A11" s="269"/>
      <c r="B11" s="79"/>
      <c r="C11" s="79"/>
      <c r="D11" s="151"/>
      <c r="E11" s="74"/>
      <c r="F11" s="68"/>
    </row>
    <row r="12" spans="1:6" ht="12.75">
      <c r="A12" s="263" t="s">
        <v>77</v>
      </c>
      <c r="B12" s="68"/>
      <c r="C12" s="68"/>
      <c r="D12" s="239">
        <f>SUM(D5:D11)</f>
        <v>2850</v>
      </c>
      <c r="E12" s="275" t="s">
        <v>78</v>
      </c>
      <c r="F12" s="68"/>
    </row>
    <row r="13" spans="1:6" ht="12.75">
      <c r="A13" s="263"/>
      <c r="B13" s="68"/>
      <c r="C13" s="68"/>
      <c r="D13" s="73"/>
      <c r="E13" s="74"/>
      <c r="F13" s="68"/>
    </row>
    <row r="14" spans="1:6" ht="12.75">
      <c r="A14" s="263" t="s">
        <v>79</v>
      </c>
      <c r="B14" s="68"/>
      <c r="C14" s="68"/>
      <c r="D14" s="240">
        <v>3800</v>
      </c>
      <c r="E14" s="74" t="s">
        <v>78</v>
      </c>
      <c r="F14" s="68"/>
    </row>
    <row r="15" spans="1:6" ht="13.5" thickBot="1">
      <c r="A15" s="264" t="s">
        <v>80</v>
      </c>
      <c r="B15" s="77"/>
      <c r="C15" s="77"/>
      <c r="D15" s="268">
        <f>D12/D14</f>
        <v>0.75</v>
      </c>
      <c r="E15" s="78"/>
      <c r="F15" s="68"/>
    </row>
    <row r="16" spans="2:6" ht="17.25" customHeight="1">
      <c r="B16" s="79"/>
      <c r="C16" s="79"/>
      <c r="E16" s="80"/>
      <c r="F16" s="68"/>
    </row>
    <row r="17" spans="1:6" ht="9.75" customHeight="1" thickBot="1">
      <c r="A17" s="253"/>
      <c r="B17" s="68"/>
      <c r="C17" s="68"/>
      <c r="D17" s="68"/>
      <c r="E17" s="68"/>
      <c r="F17" s="68"/>
    </row>
    <row r="18" spans="1:6" ht="12.75">
      <c r="A18" s="83" t="s">
        <v>52</v>
      </c>
      <c r="B18" s="81" t="s">
        <v>53</v>
      </c>
      <c r="C18" s="69"/>
      <c r="D18" s="82" t="s">
        <v>7</v>
      </c>
      <c r="E18" s="82" t="s">
        <v>81</v>
      </c>
      <c r="F18" s="83" t="s">
        <v>82</v>
      </c>
    </row>
    <row r="19" spans="1:6" ht="13.5" thickBot="1">
      <c r="A19" s="254"/>
      <c r="B19" s="76"/>
      <c r="C19" s="78"/>
      <c r="D19" s="85"/>
      <c r="E19" s="84"/>
      <c r="F19" s="84"/>
    </row>
    <row r="20" spans="1:10" ht="12.75">
      <c r="A20" s="255">
        <v>1</v>
      </c>
      <c r="B20" s="86" t="s">
        <v>59</v>
      </c>
      <c r="C20" s="79"/>
      <c r="D20" s="271">
        <v>160000</v>
      </c>
      <c r="E20" s="247">
        <f>D15*D20</f>
        <v>120000</v>
      </c>
      <c r="F20" s="243">
        <f>D20-E20</f>
        <v>40000</v>
      </c>
      <c r="J20" s="88"/>
    </row>
    <row r="21" spans="1:6" ht="12.75">
      <c r="A21" s="255">
        <v>3</v>
      </c>
      <c r="B21" s="86" t="s">
        <v>60</v>
      </c>
      <c r="C21" s="79"/>
      <c r="D21" s="243">
        <f>SUM(E21:F21)</f>
        <v>24000</v>
      </c>
      <c r="E21" s="247">
        <f>0.15*SUM(E20:E20)</f>
        <v>18000</v>
      </c>
      <c r="F21" s="243">
        <f>0.15*F20</f>
        <v>6000</v>
      </c>
    </row>
    <row r="22" spans="1:10" ht="12.75">
      <c r="A22" s="255">
        <v>5</v>
      </c>
      <c r="B22" s="86" t="s">
        <v>61</v>
      </c>
      <c r="C22" s="79"/>
      <c r="D22" s="243">
        <f>SUM(E22:F22)</f>
        <v>1200</v>
      </c>
      <c r="E22" s="247">
        <v>0</v>
      </c>
      <c r="F22" s="271">
        <v>1200</v>
      </c>
      <c r="J22" s="88"/>
    </row>
    <row r="23" spans="1:10" ht="12.75">
      <c r="A23" s="255">
        <v>6</v>
      </c>
      <c r="B23" s="86" t="s">
        <v>62</v>
      </c>
      <c r="C23" s="79"/>
      <c r="D23" s="243">
        <f>SUM(E23:F23)</f>
        <v>1150</v>
      </c>
      <c r="E23" s="247">
        <f>G23*$D$15</f>
        <v>900</v>
      </c>
      <c r="F23" s="271">
        <v>250</v>
      </c>
      <c r="G23" s="67">
        <v>1200</v>
      </c>
      <c r="J23" s="88"/>
    </row>
    <row r="24" spans="1:10" ht="12.75">
      <c r="A24" s="255">
        <v>13</v>
      </c>
      <c r="B24" s="86" t="s">
        <v>83</v>
      </c>
      <c r="C24" s="79"/>
      <c r="D24" s="243">
        <f>SUM(E24:F24)</f>
        <v>6000</v>
      </c>
      <c r="E24" s="247">
        <f>G24*$D$15</f>
        <v>3600</v>
      </c>
      <c r="F24" s="271">
        <v>2400</v>
      </c>
      <c r="G24" s="67">
        <v>4800</v>
      </c>
      <c r="J24" s="88"/>
    </row>
    <row r="25" spans="1:10" ht="12.75">
      <c r="A25" s="255">
        <v>14</v>
      </c>
      <c r="B25" s="86" t="s">
        <v>68</v>
      </c>
      <c r="C25" s="79"/>
      <c r="D25" s="243">
        <f>SUM(E25:F25)</f>
        <v>8400</v>
      </c>
      <c r="E25" s="247">
        <f>G25*$D$15</f>
        <v>0</v>
      </c>
      <c r="F25" s="271">
        <v>8400</v>
      </c>
      <c r="G25" s="67">
        <v>0</v>
      </c>
      <c r="J25" s="88"/>
    </row>
    <row r="26" spans="1:10" ht="12.75">
      <c r="A26" s="255"/>
      <c r="B26" s="86"/>
      <c r="C26" s="79"/>
      <c r="D26" s="243"/>
      <c r="E26" s="247"/>
      <c r="F26" s="87"/>
      <c r="J26" s="88"/>
    </row>
    <row r="27" spans="1:10" ht="12.75">
      <c r="A27" s="255"/>
      <c r="B27" s="86" t="s">
        <v>70</v>
      </c>
      <c r="C27" s="79"/>
      <c r="D27" s="243">
        <f>SUM(E27:F27)</f>
        <v>200750</v>
      </c>
      <c r="E27" s="243">
        <f>SUM(E20:E26)</f>
        <v>142500</v>
      </c>
      <c r="F27" s="243">
        <f>SUM(F20:F26)</f>
        <v>58250</v>
      </c>
      <c r="J27" s="88"/>
    </row>
    <row r="28" spans="1:10" ht="12.75">
      <c r="A28" s="255"/>
      <c r="B28" s="86"/>
      <c r="C28" s="79"/>
      <c r="D28" s="243"/>
      <c r="E28" s="247"/>
      <c r="F28" s="243"/>
      <c r="J28" s="88"/>
    </row>
    <row r="29" spans="1:6" ht="12.75">
      <c r="A29" s="255">
        <v>20</v>
      </c>
      <c r="B29" s="86" t="s">
        <v>71</v>
      </c>
      <c r="C29" s="79"/>
      <c r="D29" s="243">
        <f>SUM(E29:F29)</f>
        <v>22000</v>
      </c>
      <c r="E29" s="247">
        <v>0</v>
      </c>
      <c r="F29" s="243">
        <f>'Anlagenspiegel &amp; Raumzuteilung'!F10</f>
        <v>22000</v>
      </c>
    </row>
    <row r="30" spans="1:6" ht="12.75">
      <c r="A30" s="255">
        <v>21</v>
      </c>
      <c r="B30" s="86" t="s">
        <v>24</v>
      </c>
      <c r="C30" s="79"/>
      <c r="D30" s="243">
        <f>SUM(E30:F30)</f>
        <v>6000</v>
      </c>
      <c r="E30" s="247">
        <v>0</v>
      </c>
      <c r="F30" s="243">
        <f>'Anlagenspiegel &amp; Raumzuteilung'!E10</f>
        <v>6000</v>
      </c>
    </row>
    <row r="31" spans="1:6" ht="13.5" thickBot="1">
      <c r="A31" s="254">
        <v>50</v>
      </c>
      <c r="B31" s="86" t="s">
        <v>72</v>
      </c>
      <c r="C31" s="79"/>
      <c r="D31" s="243">
        <f>SUM(E31:F31)</f>
        <v>99000</v>
      </c>
      <c r="E31" s="247">
        <v>0</v>
      </c>
      <c r="F31" s="243">
        <f>'Anlagenspiegel &amp; Raumzuteilung'!$H$10</f>
        <v>99000</v>
      </c>
    </row>
    <row r="32" spans="1:6" ht="18" customHeight="1" thickBot="1">
      <c r="A32" s="253"/>
      <c r="B32" s="64" t="s">
        <v>74</v>
      </c>
      <c r="C32" s="89"/>
      <c r="D32" s="246">
        <f>SUM(D27:D31)</f>
        <v>327750</v>
      </c>
      <c r="E32" s="246">
        <f>SUM(E27:E31)</f>
        <v>142500</v>
      </c>
      <c r="F32" s="248">
        <f>SUM(F27:F31)</f>
        <v>185250</v>
      </c>
    </row>
    <row r="33" spans="1:6" ht="8.25" customHeight="1" thickBot="1">
      <c r="A33" s="253"/>
      <c r="B33" s="79"/>
      <c r="C33" s="79"/>
      <c r="D33" s="266"/>
      <c r="E33" s="266"/>
      <c r="F33" s="266"/>
    </row>
    <row r="34" spans="1:6" s="93" customFormat="1" ht="13.5" thickBot="1">
      <c r="A34" s="256"/>
      <c r="B34" s="91" t="s">
        <v>84</v>
      </c>
      <c r="C34" s="92"/>
      <c r="D34" s="249">
        <f>D32/planbeschäftigung</f>
        <v>115</v>
      </c>
      <c r="E34" s="249">
        <f>E32/planbeschäftigung</f>
        <v>50</v>
      </c>
      <c r="F34" s="249">
        <f>F32/planbeschäftigung</f>
        <v>65</v>
      </c>
    </row>
  </sheetData>
  <sheetProtection sheet="1" objects="1" scenarios="1"/>
  <printOptions horizontalCentered="1" verticalCentered="1"/>
  <pageMargins left="0.24" right="0.24" top="0.984251968503937" bottom="4.1" header="0.5118110236220472" footer="0.5118110236220472"/>
  <pageSetup fitToHeight="1" fitToWidth="1" horizontalDpi="300" verticalDpi="300" orientation="portrait" paperSize="9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252" customWidth="1"/>
    <col min="2" max="2" width="25.57421875" style="67" customWidth="1"/>
    <col min="3" max="3" width="8.421875" style="67" customWidth="1"/>
    <col min="4" max="6" width="16.00390625" style="67" customWidth="1"/>
    <col min="7" max="7" width="0" style="67" hidden="1" customWidth="1"/>
    <col min="8" max="8" width="11.421875" style="67" customWidth="1"/>
    <col min="9" max="16384" width="11.421875" style="28" customWidth="1"/>
  </cols>
  <sheetData>
    <row r="1" spans="1:5" s="67" customFormat="1" ht="13.5" thickBot="1">
      <c r="A1" s="257" t="s">
        <v>50</v>
      </c>
      <c r="B1" s="65"/>
      <c r="C1" s="65"/>
      <c r="D1" s="65" t="s">
        <v>85</v>
      </c>
      <c r="E1" s="66"/>
    </row>
    <row r="2" spans="1:6" s="67" customFormat="1" ht="13.5" thickBot="1">
      <c r="A2" s="259"/>
      <c r="B2" s="68"/>
      <c r="C2" s="68"/>
      <c r="D2" s="68"/>
      <c r="E2" s="68"/>
      <c r="F2" s="68"/>
    </row>
    <row r="3" spans="1:6" s="67" customFormat="1" ht="6" customHeight="1">
      <c r="A3" s="261"/>
      <c r="B3" s="69"/>
      <c r="C3" s="69"/>
      <c r="D3" s="70"/>
      <c r="E3" s="71"/>
      <c r="F3" s="68"/>
    </row>
    <row r="4" spans="1:6" s="67" customFormat="1" ht="12.75">
      <c r="A4" s="263" t="s">
        <v>77</v>
      </c>
      <c r="B4" s="68"/>
      <c r="C4" s="68"/>
      <c r="D4" s="239">
        <f>'Absatzplanung (gesamt)'!B27</f>
        <v>7251</v>
      </c>
      <c r="E4" s="72" t="s">
        <v>78</v>
      </c>
      <c r="F4" s="68"/>
    </row>
    <row r="5" spans="1:6" s="67" customFormat="1" ht="7.5" customHeight="1">
      <c r="A5" s="263"/>
      <c r="B5" s="68"/>
      <c r="C5" s="68"/>
      <c r="D5" s="240"/>
      <c r="E5" s="74"/>
      <c r="F5" s="68"/>
    </row>
    <row r="6" spans="1:6" s="67" customFormat="1" ht="12.75">
      <c r="A6" s="263" t="s">
        <v>79</v>
      </c>
      <c r="B6" s="68"/>
      <c r="C6" s="68"/>
      <c r="D6" s="240">
        <f>3600*0.75*3</f>
        <v>8100</v>
      </c>
      <c r="E6" s="74" t="s">
        <v>78</v>
      </c>
      <c r="F6" s="68"/>
    </row>
    <row r="7" spans="1:6" s="67" customFormat="1" ht="5.25" customHeight="1">
      <c r="A7" s="263"/>
      <c r="B7" s="68"/>
      <c r="C7" s="68"/>
      <c r="D7" s="240"/>
      <c r="E7" s="74"/>
      <c r="F7" s="68"/>
    </row>
    <row r="8" spans="1:6" s="67" customFormat="1" ht="13.5" thickBot="1">
      <c r="A8" s="264" t="s">
        <v>86</v>
      </c>
      <c r="B8" s="77"/>
      <c r="C8" s="77"/>
      <c r="D8" s="242">
        <f>D4/D6</f>
        <v>0.8951851851851852</v>
      </c>
      <c r="E8" s="78"/>
      <c r="F8" s="68"/>
    </row>
    <row r="9" spans="1:6" s="67" customFormat="1" ht="17.25" customHeight="1">
      <c r="A9" s="252"/>
      <c r="B9" s="79"/>
      <c r="C9" s="79"/>
      <c r="E9" s="80"/>
      <c r="F9" s="68"/>
    </row>
    <row r="10" spans="1:6" s="67" customFormat="1" ht="9.75" customHeight="1" thickBot="1">
      <c r="A10" s="253"/>
      <c r="B10" s="68"/>
      <c r="C10" s="68"/>
      <c r="D10" s="68"/>
      <c r="E10" s="68"/>
      <c r="F10" s="68"/>
    </row>
    <row r="11" spans="1:6" s="67" customFormat="1" ht="12.75">
      <c r="A11" s="83" t="s">
        <v>52</v>
      </c>
      <c r="B11" s="81" t="s">
        <v>53</v>
      </c>
      <c r="C11" s="69"/>
      <c r="D11" s="82" t="s">
        <v>7</v>
      </c>
      <c r="E11" s="82" t="s">
        <v>81</v>
      </c>
      <c r="F11" s="83" t="s">
        <v>82</v>
      </c>
    </row>
    <row r="12" spans="1:6" s="67" customFormat="1" ht="13.5" thickBot="1">
      <c r="A12" s="254"/>
      <c r="B12" s="76"/>
      <c r="C12" s="78"/>
      <c r="D12" s="85"/>
      <c r="E12" s="84"/>
      <c r="F12" s="84"/>
    </row>
    <row r="13" spans="1:9" s="67" customFormat="1" ht="12.75">
      <c r="A13" s="255">
        <v>1</v>
      </c>
      <c r="B13" s="86" t="s">
        <v>59</v>
      </c>
      <c r="C13" s="79"/>
      <c r="D13" s="251">
        <f>353500+175100</f>
        <v>528600</v>
      </c>
      <c r="E13" s="247">
        <f>G13*D8</f>
        <v>344000</v>
      </c>
      <c r="F13" s="243">
        <f>D13-E13</f>
        <v>184600</v>
      </c>
      <c r="G13" s="67">
        <v>384278.0306164667</v>
      </c>
      <c r="I13" s="88"/>
    </row>
    <row r="14" spans="1:6" s="67" customFormat="1" ht="12.75">
      <c r="A14" s="255">
        <v>3</v>
      </c>
      <c r="B14" s="86" t="s">
        <v>60</v>
      </c>
      <c r="C14" s="79"/>
      <c r="D14" s="243">
        <f aca="true" t="shared" si="0" ref="D14:D19">SUM(E14:F14)</f>
        <v>79290</v>
      </c>
      <c r="E14" s="247">
        <f>0.15*SUM(E13:E13)</f>
        <v>51600</v>
      </c>
      <c r="F14" s="243">
        <f>0.15*F13</f>
        <v>27690</v>
      </c>
    </row>
    <row r="15" spans="1:9" s="67" customFormat="1" ht="12.75">
      <c r="A15" s="255">
        <v>5</v>
      </c>
      <c r="B15" s="86" t="s">
        <v>61</v>
      </c>
      <c r="C15" s="79"/>
      <c r="D15" s="243">
        <f t="shared" si="0"/>
        <v>28850</v>
      </c>
      <c r="E15" s="247">
        <v>0</v>
      </c>
      <c r="F15" s="251">
        <v>28850</v>
      </c>
      <c r="I15" s="88"/>
    </row>
    <row r="16" spans="1:9" s="67" customFormat="1" ht="12.75">
      <c r="A16" s="255">
        <v>6</v>
      </c>
      <c r="B16" s="86" t="s">
        <v>62</v>
      </c>
      <c r="C16" s="79"/>
      <c r="D16" s="243">
        <f t="shared" si="0"/>
        <v>30600</v>
      </c>
      <c r="E16" s="247">
        <f>G16*D8</f>
        <v>25000</v>
      </c>
      <c r="F16" s="251">
        <v>5600</v>
      </c>
      <c r="G16" s="67">
        <v>27927.182457592055</v>
      </c>
      <c r="I16" s="88"/>
    </row>
    <row r="17" spans="1:9" s="67" customFormat="1" ht="12.75">
      <c r="A17" s="255">
        <v>13</v>
      </c>
      <c r="B17" s="86" t="s">
        <v>83</v>
      </c>
      <c r="C17" s="79"/>
      <c r="D17" s="243">
        <f t="shared" si="0"/>
        <v>40000</v>
      </c>
      <c r="E17" s="247">
        <f>G17*D8</f>
        <v>35000</v>
      </c>
      <c r="F17" s="251">
        <v>5000</v>
      </c>
      <c r="G17" s="67">
        <v>39098.05544062888</v>
      </c>
      <c r="I17" s="88"/>
    </row>
    <row r="18" spans="1:9" s="67" customFormat="1" ht="12.75">
      <c r="A18" s="255">
        <v>14</v>
      </c>
      <c r="B18" s="86" t="s">
        <v>68</v>
      </c>
      <c r="C18" s="79"/>
      <c r="D18" s="243">
        <f t="shared" si="0"/>
        <v>12000</v>
      </c>
      <c r="E18" s="247">
        <v>0</v>
      </c>
      <c r="F18" s="251">
        <v>12000</v>
      </c>
      <c r="I18" s="88"/>
    </row>
    <row r="19" spans="1:9" s="67" customFormat="1" ht="12.75">
      <c r="A19" s="52">
        <v>51</v>
      </c>
      <c r="B19" s="58" t="s">
        <v>69</v>
      </c>
      <c r="C19" s="79"/>
      <c r="D19" s="243">
        <f t="shared" si="0"/>
        <v>20000</v>
      </c>
      <c r="E19" s="247">
        <f>G19*D8*'KS 100 U&amp;R'!E34</f>
        <v>12500</v>
      </c>
      <c r="F19" s="243">
        <f>150*'KS 100 U&amp;R'!E34</f>
        <v>7500</v>
      </c>
      <c r="G19" s="67">
        <v>279.27182457592056</v>
      </c>
      <c r="H19" s="1"/>
      <c r="I19" s="88"/>
    </row>
    <row r="20" spans="1:9" s="67" customFormat="1" ht="12.75">
      <c r="A20" s="255"/>
      <c r="B20" s="86"/>
      <c r="C20" s="79"/>
      <c r="D20" s="243"/>
      <c r="E20" s="247"/>
      <c r="F20" s="243"/>
      <c r="G20" s="67">
        <f>150+G19*D8</f>
        <v>400</v>
      </c>
      <c r="I20" s="88"/>
    </row>
    <row r="21" spans="1:9" s="67" customFormat="1" ht="12.75">
      <c r="A21" s="255"/>
      <c r="B21" s="86" t="s">
        <v>70</v>
      </c>
      <c r="C21" s="79"/>
      <c r="D21" s="243">
        <f>SUM(E21:F21)</f>
        <v>739340</v>
      </c>
      <c r="E21" s="243">
        <f>SUM(E13:E20)</f>
        <v>468100</v>
      </c>
      <c r="F21" s="243">
        <f>SUM(F13:F20)</f>
        <v>271240</v>
      </c>
      <c r="I21" s="88"/>
    </row>
    <row r="22" spans="1:9" s="67" customFormat="1" ht="12.75">
      <c r="A22" s="255"/>
      <c r="B22" s="86"/>
      <c r="C22" s="79"/>
      <c r="D22" s="243"/>
      <c r="E22" s="247"/>
      <c r="F22" s="243"/>
      <c r="I22" s="88"/>
    </row>
    <row r="23" spans="1:6" s="43" customFormat="1" ht="12.75">
      <c r="A23" s="52">
        <v>20</v>
      </c>
      <c r="B23" s="58" t="s">
        <v>71</v>
      </c>
      <c r="C23" s="79"/>
      <c r="D23" s="244">
        <f>SUM(E23:F23)</f>
        <v>296000</v>
      </c>
      <c r="E23" s="244">
        <v>0</v>
      </c>
      <c r="F23" s="244">
        <f>'Anlagenspiegel &amp; Raumzuteilung'!F11</f>
        <v>296000</v>
      </c>
    </row>
    <row r="24" spans="1:6" s="43" customFormat="1" ht="12.75">
      <c r="A24" s="52">
        <v>21</v>
      </c>
      <c r="B24" s="58" t="s">
        <v>24</v>
      </c>
      <c r="C24" s="79"/>
      <c r="D24" s="244">
        <f>SUM(E24:F24)</f>
        <v>99000</v>
      </c>
      <c r="E24" s="244">
        <v>0</v>
      </c>
      <c r="F24" s="244">
        <f>'Anlagenspiegel &amp; Raumzuteilung'!E11</f>
        <v>99000</v>
      </c>
    </row>
    <row r="25" spans="1:6" s="43" customFormat="1" ht="12.75">
      <c r="A25" s="52">
        <v>50</v>
      </c>
      <c r="B25" s="58" t="s">
        <v>72</v>
      </c>
      <c r="C25" s="79"/>
      <c r="D25" s="244">
        <f>SUM(E25:F25)</f>
        <v>180000</v>
      </c>
      <c r="E25" s="244">
        <v>0</v>
      </c>
      <c r="F25" s="244">
        <f>'Anlagenspiegel &amp; Raumzuteilung'!H11</f>
        <v>180000</v>
      </c>
    </row>
    <row r="26" spans="1:6" s="43" customFormat="1" ht="13.5" thickBot="1">
      <c r="A26" s="57">
        <v>52</v>
      </c>
      <c r="B26" s="62" t="s">
        <v>73</v>
      </c>
      <c r="C26" s="79"/>
      <c r="D26" s="245">
        <f>D19/'KS 100 U&amp;R'!$E$34*'KS 100 U&amp;R'!$F$34</f>
        <v>26000</v>
      </c>
      <c r="E26" s="245">
        <v>0</v>
      </c>
      <c r="F26" s="245">
        <f>D26</f>
        <v>26000</v>
      </c>
    </row>
    <row r="27" spans="1:6" s="67" customFormat="1" ht="18" customHeight="1" thickBot="1">
      <c r="A27" s="253"/>
      <c r="B27" s="64" t="s">
        <v>74</v>
      </c>
      <c r="C27" s="89"/>
      <c r="D27" s="246">
        <f>SUM(D21:D26)</f>
        <v>1340340</v>
      </c>
      <c r="E27" s="246">
        <f>SUM(E21:E26)</f>
        <v>468100</v>
      </c>
      <c r="F27" s="248">
        <f>SUM(F21:F26)</f>
        <v>872240</v>
      </c>
    </row>
    <row r="28" spans="1:6" s="67" customFormat="1" ht="8.25" customHeight="1" thickBot="1">
      <c r="A28" s="253"/>
      <c r="B28" s="79"/>
      <c r="C28" s="79"/>
      <c r="D28" s="266"/>
      <c r="E28" s="266"/>
      <c r="F28" s="266"/>
    </row>
    <row r="29" spans="1:8" ht="13.5" thickBot="1">
      <c r="A29" s="256"/>
      <c r="B29" s="91" t="s">
        <v>84</v>
      </c>
      <c r="C29" s="92"/>
      <c r="D29" s="249">
        <f>D27/$D$4</f>
        <v>184.8489863467108</v>
      </c>
      <c r="E29" s="249">
        <f>E27/$D$4</f>
        <v>64.55661288098193</v>
      </c>
      <c r="F29" s="249">
        <f>F27/$D$4</f>
        <v>120.29237346572887</v>
      </c>
      <c r="G29" s="93"/>
      <c r="H29" s="93"/>
    </row>
  </sheetData>
  <sheetProtection sheet="1" objects="1" scenarios="1"/>
  <printOptions horizontalCentered="1" verticalCentered="1"/>
  <pageMargins left="0.24" right="0.24" top="0.984251968503937" bottom="5.19" header="0.5118110236220472" footer="0.55"/>
  <pageSetup fitToHeight="1" fitToWidth="1" horizontalDpi="300" verticalDpi="300" orientation="portrait" paperSize="9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252" customWidth="1"/>
    <col min="2" max="2" width="25.57421875" style="67" customWidth="1"/>
    <col min="3" max="3" width="8.421875" style="67" customWidth="1"/>
    <col min="4" max="6" width="16.00390625" style="67" customWidth="1"/>
    <col min="7" max="7" width="0" style="67" hidden="1" customWidth="1"/>
    <col min="8" max="16384" width="11.421875" style="67" customWidth="1"/>
  </cols>
  <sheetData>
    <row r="1" spans="1:5" ht="13.5" thickBot="1">
      <c r="A1" s="257" t="s">
        <v>50</v>
      </c>
      <c r="B1" s="258"/>
      <c r="C1" s="65"/>
      <c r="D1" s="65" t="s">
        <v>87</v>
      </c>
      <c r="E1" s="66"/>
    </row>
    <row r="2" spans="1:6" ht="13.5" thickBot="1">
      <c r="A2" s="259"/>
      <c r="B2" s="260"/>
      <c r="C2" s="68"/>
      <c r="D2" s="68"/>
      <c r="E2" s="68"/>
      <c r="F2" s="68"/>
    </row>
    <row r="3" spans="1:6" ht="6" customHeight="1">
      <c r="A3" s="261"/>
      <c r="B3" s="262"/>
      <c r="C3" s="69"/>
      <c r="D3" s="70"/>
      <c r="E3" s="71"/>
      <c r="F3" s="68"/>
    </row>
    <row r="4" spans="1:6" ht="12.75">
      <c r="A4" s="263" t="s">
        <v>77</v>
      </c>
      <c r="B4" s="260"/>
      <c r="C4" s="68"/>
      <c r="D4" s="239">
        <f>'Absatzplanung (gesamt)'!C20</f>
        <v>18800</v>
      </c>
      <c r="E4" s="72" t="s">
        <v>15</v>
      </c>
      <c r="F4" s="68"/>
    </row>
    <row r="5" spans="1:6" ht="7.5" customHeight="1">
      <c r="A5" s="263"/>
      <c r="B5" s="260"/>
      <c r="C5" s="68"/>
      <c r="D5" s="240"/>
      <c r="E5" s="74"/>
      <c r="F5" s="68"/>
    </row>
    <row r="6" spans="1:6" ht="12.75">
      <c r="A6" s="263" t="s">
        <v>79</v>
      </c>
      <c r="B6" s="260"/>
      <c r="C6" s="68"/>
      <c r="D6" s="240">
        <f>365*D10</f>
        <v>25550</v>
      </c>
      <c r="E6" s="74" t="s">
        <v>15</v>
      </c>
      <c r="F6" s="68"/>
    </row>
    <row r="7" spans="1:6" ht="5.25" customHeight="1">
      <c r="A7" s="263"/>
      <c r="B7" s="260"/>
      <c r="C7" s="68"/>
      <c r="D7" s="240"/>
      <c r="E7" s="74"/>
      <c r="F7" s="68"/>
    </row>
    <row r="8" spans="1:6" ht="12.75">
      <c r="A8" s="263" t="s">
        <v>88</v>
      </c>
      <c r="B8" s="260"/>
      <c r="C8" s="68"/>
      <c r="D8" s="240"/>
      <c r="E8" s="74"/>
      <c r="F8" s="68"/>
    </row>
    <row r="9" spans="1:6" ht="12.75">
      <c r="A9" s="263"/>
      <c r="B9" s="260" t="s">
        <v>89</v>
      </c>
      <c r="C9" s="1"/>
      <c r="D9" s="241">
        <f>'Absatzplanung (gesamt)'!C19</f>
        <v>8.545454545454545</v>
      </c>
      <c r="E9" s="74"/>
      <c r="F9" s="68"/>
    </row>
    <row r="10" spans="1:6" ht="12.75">
      <c r="A10" s="263"/>
      <c r="B10" s="260" t="s">
        <v>90</v>
      </c>
      <c r="C10" s="1"/>
      <c r="D10" s="250">
        <v>70</v>
      </c>
      <c r="E10" s="74"/>
      <c r="F10" s="68"/>
    </row>
    <row r="11" spans="1:6" ht="7.5" customHeight="1">
      <c r="A11" s="263"/>
      <c r="B11" s="260"/>
      <c r="C11" s="68"/>
      <c r="D11" s="73"/>
      <c r="E11" s="74"/>
      <c r="F11" s="68"/>
    </row>
    <row r="12" spans="1:6" ht="13.5" thickBot="1">
      <c r="A12" s="264" t="s">
        <v>86</v>
      </c>
      <c r="B12" s="265"/>
      <c r="C12" s="77"/>
      <c r="D12" s="242">
        <f>D4/D6</f>
        <v>0.735812133072407</v>
      </c>
      <c r="E12" s="78"/>
      <c r="F12" s="68"/>
    </row>
    <row r="13" spans="2:6" ht="17.25" customHeight="1">
      <c r="B13" s="79"/>
      <c r="C13" s="79"/>
      <c r="E13" s="80"/>
      <c r="F13" s="68"/>
    </row>
    <row r="14" spans="1:6" ht="9.75" customHeight="1" thickBot="1">
      <c r="A14" s="253"/>
      <c r="B14" s="68"/>
      <c r="C14" s="68"/>
      <c r="D14" s="68"/>
      <c r="E14" s="68"/>
      <c r="F14" s="68"/>
    </row>
    <row r="15" spans="1:6" ht="12.75">
      <c r="A15" s="83" t="s">
        <v>52</v>
      </c>
      <c r="B15" s="81" t="s">
        <v>53</v>
      </c>
      <c r="C15" s="69"/>
      <c r="D15" s="82" t="s">
        <v>7</v>
      </c>
      <c r="E15" s="82" t="s">
        <v>81</v>
      </c>
      <c r="F15" s="83" t="s">
        <v>82</v>
      </c>
    </row>
    <row r="16" spans="1:6" ht="13.5" thickBot="1">
      <c r="A16" s="254"/>
      <c r="B16" s="76"/>
      <c r="C16" s="78"/>
      <c r="D16" s="85"/>
      <c r="E16" s="84"/>
      <c r="F16" s="84"/>
    </row>
    <row r="17" spans="1:9" ht="12.75">
      <c r="A17" s="255">
        <v>1</v>
      </c>
      <c r="B17" s="86" t="s">
        <v>59</v>
      </c>
      <c r="C17" s="79"/>
      <c r="D17" s="251">
        <f>570000+1547900+130900</f>
        <v>2248800</v>
      </c>
      <c r="E17" s="247">
        <f>G17*D12</f>
        <v>1407000</v>
      </c>
      <c r="F17" s="243">
        <f>D17-E17</f>
        <v>841800</v>
      </c>
      <c r="G17" s="67">
        <v>1912172.8723404256</v>
      </c>
      <c r="I17" s="88"/>
    </row>
    <row r="18" spans="1:6" ht="12.75">
      <c r="A18" s="255">
        <v>3</v>
      </c>
      <c r="B18" s="86" t="s">
        <v>60</v>
      </c>
      <c r="C18" s="79"/>
      <c r="D18" s="243">
        <f aca="true" t="shared" si="0" ref="D18:D23">SUM(E18:F18)</f>
        <v>337320</v>
      </c>
      <c r="E18" s="247">
        <f>0.15*SUM(E17:E17)</f>
        <v>211050</v>
      </c>
      <c r="F18" s="243">
        <f>0.15*F17</f>
        <v>126270</v>
      </c>
    </row>
    <row r="19" spans="1:9" ht="12.75">
      <c r="A19" s="255">
        <v>5</v>
      </c>
      <c r="B19" s="86" t="s">
        <v>61</v>
      </c>
      <c r="C19" s="79"/>
      <c r="D19" s="243">
        <f t="shared" si="0"/>
        <v>57700</v>
      </c>
      <c r="E19" s="247">
        <v>0</v>
      </c>
      <c r="F19" s="251">
        <v>57700</v>
      </c>
      <c r="I19" s="88"/>
    </row>
    <row r="20" spans="1:9" ht="12.75">
      <c r="A20" s="255">
        <v>6</v>
      </c>
      <c r="B20" s="86" t="s">
        <v>62</v>
      </c>
      <c r="C20" s="79"/>
      <c r="D20" s="243">
        <f t="shared" si="0"/>
        <v>3949.9999999999986</v>
      </c>
      <c r="E20" s="247">
        <f>G20*D12</f>
        <v>3599.9999999999986</v>
      </c>
      <c r="F20" s="251">
        <v>350</v>
      </c>
      <c r="G20" s="67">
        <v>4892.55319148936</v>
      </c>
      <c r="I20" s="88"/>
    </row>
    <row r="21" spans="1:9" ht="12.75">
      <c r="A21" s="255">
        <v>13</v>
      </c>
      <c r="B21" s="86" t="s">
        <v>83</v>
      </c>
      <c r="C21" s="79"/>
      <c r="D21" s="243">
        <f t="shared" si="0"/>
        <v>32400</v>
      </c>
      <c r="E21" s="247">
        <f>G21*D12</f>
        <v>30000</v>
      </c>
      <c r="F21" s="251">
        <v>2400</v>
      </c>
      <c r="G21" s="67">
        <v>40771.27659574468</v>
      </c>
      <c r="I21" s="88"/>
    </row>
    <row r="22" spans="1:9" ht="12.75">
      <c r="A22" s="255">
        <v>14</v>
      </c>
      <c r="B22" s="86" t="s">
        <v>68</v>
      </c>
      <c r="C22" s="79"/>
      <c r="D22" s="243">
        <f t="shared" si="0"/>
        <v>47800</v>
      </c>
      <c r="E22" s="247">
        <v>0</v>
      </c>
      <c r="F22" s="251">
        <v>47800</v>
      </c>
      <c r="I22" s="88"/>
    </row>
    <row r="23" spans="1:9" ht="12.75">
      <c r="A23" s="52">
        <v>51</v>
      </c>
      <c r="B23" s="58" t="s">
        <v>69</v>
      </c>
      <c r="C23" s="79"/>
      <c r="D23" s="243">
        <f t="shared" si="0"/>
        <v>45000</v>
      </c>
      <c r="E23" s="247">
        <f>G23*D12*'KS 100 U&amp;R'!E34</f>
        <v>30000</v>
      </c>
      <c r="F23" s="243">
        <f>300*'KS 100 U&amp;R'!E34</f>
        <v>15000</v>
      </c>
      <c r="G23" s="67">
        <v>815.4255319148937</v>
      </c>
      <c r="H23" s="1"/>
      <c r="I23" s="88"/>
    </row>
    <row r="24" spans="1:9" ht="12.75">
      <c r="A24" s="255"/>
      <c r="B24" s="86"/>
      <c r="C24" s="79"/>
      <c r="D24" s="243"/>
      <c r="E24" s="247"/>
      <c r="F24" s="243"/>
      <c r="G24" s="67">
        <f>300+G23*D12</f>
        <v>900</v>
      </c>
      <c r="I24" s="88"/>
    </row>
    <row r="25" spans="1:9" ht="12.75">
      <c r="A25" s="255"/>
      <c r="B25" s="86" t="s">
        <v>70</v>
      </c>
      <c r="C25" s="79"/>
      <c r="D25" s="243">
        <f>SUM(E25:F25)</f>
        <v>2772970</v>
      </c>
      <c r="E25" s="243">
        <f>SUM(E17:E24)</f>
        <v>1681650</v>
      </c>
      <c r="F25" s="243">
        <f>SUM(F17:F24)</f>
        <v>1091320</v>
      </c>
      <c r="I25" s="88"/>
    </row>
    <row r="26" spans="1:9" ht="12.75">
      <c r="A26" s="255"/>
      <c r="B26" s="86"/>
      <c r="C26" s="79"/>
      <c r="D26" s="243"/>
      <c r="E26" s="247"/>
      <c r="F26" s="243"/>
      <c r="I26" s="88"/>
    </row>
    <row r="27" spans="1:6" s="43" customFormat="1" ht="12.75">
      <c r="A27" s="52">
        <v>20</v>
      </c>
      <c r="B27" s="58" t="s">
        <v>71</v>
      </c>
      <c r="C27" s="79"/>
      <c r="D27" s="244">
        <f>SUM(E27:F27)</f>
        <v>221000</v>
      </c>
      <c r="E27" s="244">
        <v>0</v>
      </c>
      <c r="F27" s="244">
        <f>'Anlagenspiegel &amp; Raumzuteilung'!F13</f>
        <v>221000</v>
      </c>
    </row>
    <row r="28" spans="1:6" s="43" customFormat="1" ht="12.75">
      <c r="A28" s="52">
        <v>21</v>
      </c>
      <c r="B28" s="58" t="s">
        <v>24</v>
      </c>
      <c r="C28" s="79"/>
      <c r="D28" s="244">
        <f>SUM(E28:F28)</f>
        <v>73000</v>
      </c>
      <c r="E28" s="244">
        <v>0</v>
      </c>
      <c r="F28" s="244">
        <f>'Anlagenspiegel &amp; Raumzuteilung'!E13</f>
        <v>73000</v>
      </c>
    </row>
    <row r="29" spans="1:6" s="43" customFormat="1" ht="12.75">
      <c r="A29" s="52">
        <v>50</v>
      </c>
      <c r="B29" s="58" t="s">
        <v>72</v>
      </c>
      <c r="C29" s="79"/>
      <c r="D29" s="244">
        <f>SUM(E29:F29)</f>
        <v>603000</v>
      </c>
      <c r="E29" s="244">
        <v>0</v>
      </c>
      <c r="F29" s="244">
        <f>'Anlagenspiegel &amp; Raumzuteilung'!H13</f>
        <v>603000</v>
      </c>
    </row>
    <row r="30" spans="1:6" s="43" customFormat="1" ht="13.5" thickBot="1">
      <c r="A30" s="57">
        <v>52</v>
      </c>
      <c r="B30" s="62" t="s">
        <v>73</v>
      </c>
      <c r="C30" s="79"/>
      <c r="D30" s="245">
        <f>D23/'KS 100 U&amp;R'!$E$34*'KS 100 U&amp;R'!$F$34</f>
        <v>58500</v>
      </c>
      <c r="E30" s="245">
        <v>0</v>
      </c>
      <c r="F30" s="245">
        <f>D30</f>
        <v>58500</v>
      </c>
    </row>
    <row r="31" spans="1:6" ht="18" customHeight="1" thickBot="1">
      <c r="A31" s="253"/>
      <c r="B31" s="64" t="s">
        <v>74</v>
      </c>
      <c r="C31" s="89"/>
      <c r="D31" s="246">
        <f>SUM(D25:D30)</f>
        <v>3728470</v>
      </c>
      <c r="E31" s="246">
        <f>SUM(E25:E30)</f>
        <v>1681650</v>
      </c>
      <c r="F31" s="248">
        <f>SUM(F25:F30)</f>
        <v>2046820</v>
      </c>
    </row>
    <row r="32" spans="1:6" ht="8.25" customHeight="1" thickBot="1">
      <c r="A32" s="253"/>
      <c r="B32" s="79"/>
      <c r="C32" s="79"/>
      <c r="D32" s="266"/>
      <c r="E32" s="266"/>
      <c r="F32" s="266"/>
    </row>
    <row r="33" spans="1:6" s="93" customFormat="1" ht="13.5" thickBot="1">
      <c r="A33" s="256"/>
      <c r="B33" s="91" t="s">
        <v>84</v>
      </c>
      <c r="C33" s="92"/>
      <c r="D33" s="249">
        <f>D31/planbeschäftigung</f>
        <v>198.32287234042553</v>
      </c>
      <c r="E33" s="249">
        <f>E31/planbeschäftigung</f>
        <v>89.44946808510639</v>
      </c>
      <c r="F33" s="249">
        <f>F31/planbeschäftigung</f>
        <v>108.87340425531914</v>
      </c>
    </row>
  </sheetData>
  <sheetProtection sheet="1" objects="1" scenarios="1"/>
  <printOptions horizontalCentered="1" verticalCentered="1"/>
  <pageMargins left="0.28" right="0.36" top="0.44" bottom="5.07" header="0.5118110236220472" footer="0.5118110236220472"/>
  <pageSetup fitToHeight="1" fitToWidth="1" horizontalDpi="150" verticalDpi="150" orientation="portrait" paperSize="9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140625" style="252" customWidth="1"/>
    <col min="2" max="2" width="25.57421875" style="67" customWidth="1"/>
    <col min="3" max="3" width="8.421875" style="67" customWidth="1"/>
    <col min="4" max="6" width="16.00390625" style="67" customWidth="1"/>
    <col min="7" max="7" width="0" style="67" hidden="1" customWidth="1"/>
    <col min="8" max="8" width="11.421875" style="67" customWidth="1"/>
    <col min="9" max="16384" width="11.421875" style="28" customWidth="1"/>
  </cols>
  <sheetData>
    <row r="1" spans="1:5" ht="13.5" thickBot="1">
      <c r="A1" s="257" t="s">
        <v>50</v>
      </c>
      <c r="B1" s="258"/>
      <c r="C1" s="65"/>
      <c r="D1" s="65" t="s">
        <v>91</v>
      </c>
      <c r="E1" s="66"/>
    </row>
    <row r="2" spans="1:6" ht="13.5" thickBot="1">
      <c r="A2" s="259"/>
      <c r="B2" s="260"/>
      <c r="C2" s="68"/>
      <c r="D2" s="68"/>
      <c r="E2" s="68"/>
      <c r="F2" s="68"/>
    </row>
    <row r="3" spans="1:6" ht="6" customHeight="1">
      <c r="A3" s="261"/>
      <c r="B3" s="262"/>
      <c r="C3" s="69"/>
      <c r="D3" s="70"/>
      <c r="E3" s="71"/>
      <c r="F3" s="68"/>
    </row>
    <row r="4" spans="1:6" ht="12.75">
      <c r="A4" s="263" t="s">
        <v>77</v>
      </c>
      <c r="B4" s="260"/>
      <c r="C4" s="68"/>
      <c r="D4" s="239">
        <f>'Absatzplanung (gesamt)'!G20</f>
        <v>9400</v>
      </c>
      <c r="E4" s="72" t="s">
        <v>15</v>
      </c>
      <c r="F4" s="68"/>
    </row>
    <row r="5" spans="1:6" ht="7.5" customHeight="1">
      <c r="A5" s="263"/>
      <c r="B5" s="260"/>
      <c r="C5" s="68"/>
      <c r="D5" s="240"/>
      <c r="E5" s="74"/>
      <c r="F5" s="68"/>
    </row>
    <row r="6" spans="1:6" ht="12.75">
      <c r="A6" s="263" t="s">
        <v>79</v>
      </c>
      <c r="B6" s="260"/>
      <c r="C6" s="68"/>
      <c r="D6" s="240">
        <f>365*D10</f>
        <v>10950</v>
      </c>
      <c r="E6" s="74" t="s">
        <v>15</v>
      </c>
      <c r="F6" s="68"/>
    </row>
    <row r="7" spans="1:6" ht="5.25" customHeight="1">
      <c r="A7" s="263"/>
      <c r="B7" s="260"/>
      <c r="C7" s="68"/>
      <c r="D7" s="240"/>
      <c r="E7" s="74"/>
      <c r="F7" s="68"/>
    </row>
    <row r="8" spans="1:6" ht="12.75">
      <c r="A8" s="263" t="s">
        <v>88</v>
      </c>
      <c r="B8" s="260"/>
      <c r="C8" s="68"/>
      <c r="D8" s="240"/>
      <c r="E8" s="74"/>
      <c r="F8" s="68"/>
    </row>
    <row r="9" spans="1:6" ht="12.75">
      <c r="A9" s="263"/>
      <c r="B9" s="260" t="s">
        <v>89</v>
      </c>
      <c r="C9" s="1"/>
      <c r="D9" s="241">
        <f>'Absatzplanung (gesamt)'!G19</f>
        <v>7.4603174603174605</v>
      </c>
      <c r="E9" s="74"/>
      <c r="F9" s="68"/>
    </row>
    <row r="10" spans="1:6" ht="12.75">
      <c r="A10" s="263"/>
      <c r="B10" s="260" t="s">
        <v>90</v>
      </c>
      <c r="C10" s="1"/>
      <c r="D10" s="250">
        <v>30</v>
      </c>
      <c r="E10" s="74"/>
      <c r="F10" s="68"/>
    </row>
    <row r="11" spans="1:6" ht="7.5" customHeight="1">
      <c r="A11" s="263"/>
      <c r="B11" s="260"/>
      <c r="C11" s="68"/>
      <c r="D11" s="73"/>
      <c r="E11" s="74"/>
      <c r="F11" s="68"/>
    </row>
    <row r="12" spans="1:6" ht="13.5" thickBot="1">
      <c r="A12" s="264" t="s">
        <v>86</v>
      </c>
      <c r="B12" s="265"/>
      <c r="C12" s="77"/>
      <c r="D12" s="242">
        <f>D4/D6</f>
        <v>0.8584474885844748</v>
      </c>
      <c r="E12" s="78"/>
      <c r="F12" s="68"/>
    </row>
    <row r="13" spans="2:6" ht="17.25" customHeight="1">
      <c r="B13" s="79"/>
      <c r="C13" s="79"/>
      <c r="E13" s="80"/>
      <c r="F13" s="68"/>
    </row>
    <row r="14" spans="1:6" ht="9.75" customHeight="1" thickBot="1">
      <c r="A14" s="253"/>
      <c r="B14" s="68"/>
      <c r="C14" s="68"/>
      <c r="D14" s="68"/>
      <c r="E14" s="68"/>
      <c r="F14" s="68"/>
    </row>
    <row r="15" spans="1:6" ht="12.75">
      <c r="A15" s="83" t="s">
        <v>52</v>
      </c>
      <c r="B15" s="81" t="s">
        <v>53</v>
      </c>
      <c r="C15" s="69"/>
      <c r="D15" s="82" t="s">
        <v>7</v>
      </c>
      <c r="E15" s="82" t="s">
        <v>81</v>
      </c>
      <c r="F15" s="83" t="s">
        <v>82</v>
      </c>
    </row>
    <row r="16" spans="1:6" ht="13.5" thickBot="1">
      <c r="A16" s="254"/>
      <c r="B16" s="76"/>
      <c r="C16" s="78"/>
      <c r="D16" s="85"/>
      <c r="E16" s="84"/>
      <c r="F16" s="84"/>
    </row>
    <row r="17" spans="1:9" s="67" customFormat="1" ht="12.75">
      <c r="A17" s="255">
        <v>1</v>
      </c>
      <c r="B17" s="86" t="s">
        <v>59</v>
      </c>
      <c r="C17" s="79"/>
      <c r="D17" s="251">
        <v>1079250</v>
      </c>
      <c r="E17" s="247">
        <f>G17*D12</f>
        <v>870000</v>
      </c>
      <c r="F17" s="243">
        <f>D17-E17</f>
        <v>209250</v>
      </c>
      <c r="G17" s="67">
        <v>1013457.4468085107</v>
      </c>
      <c r="I17" s="88"/>
    </row>
    <row r="18" spans="1:6" s="67" customFormat="1" ht="12.75">
      <c r="A18" s="255">
        <v>3</v>
      </c>
      <c r="B18" s="86" t="s">
        <v>60</v>
      </c>
      <c r="C18" s="79"/>
      <c r="D18" s="243">
        <f aca="true" t="shared" si="0" ref="D18:D23">SUM(E18:F18)</f>
        <v>161887.5</v>
      </c>
      <c r="E18" s="247">
        <f>0.15*SUM(E17:E17)</f>
        <v>130500</v>
      </c>
      <c r="F18" s="243">
        <f>0.15*F17</f>
        <v>31387.5</v>
      </c>
    </row>
    <row r="19" spans="1:9" s="67" customFormat="1" ht="12.75">
      <c r="A19" s="255">
        <v>5</v>
      </c>
      <c r="B19" s="86" t="s">
        <v>61</v>
      </c>
      <c r="C19" s="79"/>
      <c r="D19" s="243">
        <f t="shared" si="0"/>
        <v>28850</v>
      </c>
      <c r="E19" s="247">
        <v>0</v>
      </c>
      <c r="F19" s="251">
        <v>28850</v>
      </c>
      <c r="I19" s="88"/>
    </row>
    <row r="20" spans="1:9" s="67" customFormat="1" ht="12.75">
      <c r="A20" s="255">
        <v>6</v>
      </c>
      <c r="B20" s="86" t="s">
        <v>62</v>
      </c>
      <c r="C20" s="79"/>
      <c r="D20" s="243">
        <f t="shared" si="0"/>
        <v>2300</v>
      </c>
      <c r="E20" s="247">
        <f>G20*D12</f>
        <v>1799.9999999999998</v>
      </c>
      <c r="F20" s="251">
        <v>500</v>
      </c>
      <c r="G20" s="67">
        <v>2096.808510638298</v>
      </c>
      <c r="I20" s="88"/>
    </row>
    <row r="21" spans="1:9" s="67" customFormat="1" ht="12.75">
      <c r="A21" s="255">
        <v>13</v>
      </c>
      <c r="B21" s="86" t="s">
        <v>83</v>
      </c>
      <c r="C21" s="79"/>
      <c r="D21" s="243">
        <f t="shared" si="0"/>
        <v>21200</v>
      </c>
      <c r="E21" s="247">
        <f>G21*D12</f>
        <v>16200</v>
      </c>
      <c r="F21" s="251">
        <v>5000</v>
      </c>
      <c r="G21" s="67">
        <v>18871.276595744683</v>
      </c>
      <c r="I21" s="88"/>
    </row>
    <row r="22" spans="1:9" s="67" customFormat="1" ht="12.75">
      <c r="A22" s="255">
        <v>14</v>
      </c>
      <c r="B22" s="86" t="s">
        <v>68</v>
      </c>
      <c r="C22" s="79"/>
      <c r="D22" s="243">
        <f t="shared" si="0"/>
        <v>23900</v>
      </c>
      <c r="E22" s="247">
        <v>0</v>
      </c>
      <c r="F22" s="251">
        <v>23900</v>
      </c>
      <c r="I22" s="88"/>
    </row>
    <row r="23" spans="1:9" s="67" customFormat="1" ht="12.75">
      <c r="A23" s="52">
        <v>51</v>
      </c>
      <c r="B23" s="58" t="s">
        <v>69</v>
      </c>
      <c r="C23" s="79"/>
      <c r="D23" s="243">
        <f t="shared" si="0"/>
        <v>40000</v>
      </c>
      <c r="E23" s="247">
        <f>G23*D12*'KS 100 U&amp;R'!E34</f>
        <v>27500</v>
      </c>
      <c r="F23" s="243">
        <f>250*'KS 100 U&amp;R'!E34</f>
        <v>12500</v>
      </c>
      <c r="G23" s="67">
        <v>640.6914893617021</v>
      </c>
      <c r="H23" s="1"/>
      <c r="I23" s="88"/>
    </row>
    <row r="24" spans="1:9" s="67" customFormat="1" ht="12.75">
      <c r="A24" s="255"/>
      <c r="B24" s="86"/>
      <c r="C24" s="79"/>
      <c r="D24" s="243"/>
      <c r="E24" s="247"/>
      <c r="F24" s="87"/>
      <c r="G24" s="67">
        <f>250+G23*D12</f>
        <v>800</v>
      </c>
      <c r="I24" s="88"/>
    </row>
    <row r="25" spans="1:9" s="67" customFormat="1" ht="12.75">
      <c r="A25" s="255"/>
      <c r="B25" s="86" t="s">
        <v>70</v>
      </c>
      <c r="C25" s="79"/>
      <c r="D25" s="243">
        <f>SUM(E25:F25)</f>
        <v>1357387.5</v>
      </c>
      <c r="E25" s="243">
        <f>SUM(E17:E24)</f>
        <v>1046000</v>
      </c>
      <c r="F25" s="243">
        <f>SUM(F17:F24)</f>
        <v>311387.5</v>
      </c>
      <c r="I25" s="88"/>
    </row>
    <row r="26" spans="1:9" s="67" customFormat="1" ht="12.75">
      <c r="A26" s="255"/>
      <c r="B26" s="86"/>
      <c r="C26" s="79"/>
      <c r="D26" s="243"/>
      <c r="E26" s="247"/>
      <c r="F26" s="87"/>
      <c r="I26" s="88"/>
    </row>
    <row r="27" spans="1:6" s="43" customFormat="1" ht="12.75">
      <c r="A27" s="52">
        <v>20</v>
      </c>
      <c r="B27" s="58" t="s">
        <v>71</v>
      </c>
      <c r="C27" s="79"/>
      <c r="D27" s="244">
        <f>SUM(E27:F27)</f>
        <v>268000</v>
      </c>
      <c r="E27" s="244">
        <v>0</v>
      </c>
      <c r="F27" s="244">
        <f>'Anlagenspiegel &amp; Raumzuteilung'!F12</f>
        <v>268000</v>
      </c>
    </row>
    <row r="28" spans="1:6" s="43" customFormat="1" ht="12.75">
      <c r="A28" s="52">
        <v>21</v>
      </c>
      <c r="B28" s="58" t="s">
        <v>24</v>
      </c>
      <c r="C28" s="79"/>
      <c r="D28" s="244">
        <f>SUM(E28:F28)</f>
        <v>67000</v>
      </c>
      <c r="E28" s="244">
        <v>0</v>
      </c>
      <c r="F28" s="244">
        <f>'Anlagenspiegel &amp; Raumzuteilung'!E12</f>
        <v>67000</v>
      </c>
    </row>
    <row r="29" spans="1:6" s="43" customFormat="1" ht="12.75">
      <c r="A29" s="52">
        <v>50</v>
      </c>
      <c r="B29" s="58" t="s">
        <v>72</v>
      </c>
      <c r="C29" s="79"/>
      <c r="D29" s="244">
        <f>SUM(E29:F29)</f>
        <v>333000</v>
      </c>
      <c r="E29" s="244">
        <v>0</v>
      </c>
      <c r="F29" s="244">
        <f>'Anlagenspiegel &amp; Raumzuteilung'!H12</f>
        <v>333000</v>
      </c>
    </row>
    <row r="30" spans="1:6" s="43" customFormat="1" ht="13.5" thickBot="1">
      <c r="A30" s="57">
        <v>52</v>
      </c>
      <c r="B30" s="62" t="s">
        <v>73</v>
      </c>
      <c r="C30" s="79"/>
      <c r="D30" s="245">
        <f>D23/'KS 100 U&amp;R'!$E$34*'KS 100 U&amp;R'!$F$34</f>
        <v>52000</v>
      </c>
      <c r="E30" s="245">
        <v>0</v>
      </c>
      <c r="F30" s="245">
        <f>D30</f>
        <v>52000</v>
      </c>
    </row>
    <row r="31" spans="1:6" s="67" customFormat="1" ht="18" customHeight="1" thickBot="1">
      <c r="A31" s="253"/>
      <c r="B31" s="64" t="s">
        <v>74</v>
      </c>
      <c r="C31" s="89"/>
      <c r="D31" s="246">
        <f>SUM(D25:D30)</f>
        <v>2077387.5</v>
      </c>
      <c r="E31" s="246">
        <f>SUM(E25:E30)</f>
        <v>1046000</v>
      </c>
      <c r="F31" s="248">
        <f>SUM(F25:F30)</f>
        <v>1031387.5</v>
      </c>
    </row>
    <row r="32" spans="1:6" s="67" customFormat="1" ht="8.25" customHeight="1" thickBot="1">
      <c r="A32" s="253"/>
      <c r="B32" s="79"/>
      <c r="C32" s="79"/>
      <c r="D32" s="90"/>
      <c r="E32" s="90"/>
      <c r="F32" s="90"/>
    </row>
    <row r="33" spans="1:8" ht="13.5" thickBot="1">
      <c r="A33" s="256"/>
      <c r="B33" s="91" t="s">
        <v>84</v>
      </c>
      <c r="C33" s="92"/>
      <c r="D33" s="249">
        <f>D31/$D$4</f>
        <v>220.99867021276594</v>
      </c>
      <c r="E33" s="249">
        <f>E31/$D$4</f>
        <v>111.27659574468085</v>
      </c>
      <c r="F33" s="249">
        <f>F31/$D$4</f>
        <v>109.72207446808511</v>
      </c>
      <c r="G33" s="93"/>
      <c r="H33" s="93"/>
    </row>
  </sheetData>
  <sheetProtection sheet="1" objects="1" scenarios="1"/>
  <printOptions horizontalCentered="1" verticalCentered="1"/>
  <pageMargins left="0.36" right="0.2755905511811024" top="0.4330708661417323" bottom="4.5" header="0.5118110236220472" footer="0.5118110236220472"/>
  <pageSetup fitToHeight="1" fitToWidth="1" horizontalDpi="150" verticalDpi="150" orientation="portrait" paperSize="9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421875" style="190" customWidth="1"/>
    <col min="2" max="2" width="26.00390625" style="1" customWidth="1"/>
    <col min="3" max="6" width="11.7109375" style="168" customWidth="1"/>
    <col min="7" max="16384" width="11.421875" style="1" customWidth="1"/>
  </cols>
  <sheetData>
    <row r="1" spans="1:2" ht="13.5" thickBot="1">
      <c r="A1" s="192" t="s">
        <v>92</v>
      </c>
      <c r="B1" s="95"/>
    </row>
    <row r="2" spans="1:5" ht="13.5" thickBot="1">
      <c r="A2" s="191"/>
      <c r="B2" s="96"/>
      <c r="C2" s="233"/>
      <c r="D2" s="233"/>
      <c r="E2" s="233"/>
    </row>
    <row r="3" spans="1:10" s="238" customFormat="1" ht="25.5" customHeight="1" thickBot="1">
      <c r="A3" s="234" t="s">
        <v>52</v>
      </c>
      <c r="B3" s="235" t="s">
        <v>53</v>
      </c>
      <c r="C3" s="236" t="s">
        <v>7</v>
      </c>
      <c r="D3" s="236" t="s">
        <v>93</v>
      </c>
      <c r="E3" s="237" t="s">
        <v>94</v>
      </c>
      <c r="F3" s="237" t="s">
        <v>95</v>
      </c>
      <c r="H3" s="217"/>
      <c r="I3" s="217"/>
      <c r="J3" s="217"/>
    </row>
    <row r="4" spans="1:6" ht="12.75">
      <c r="A4" s="139">
        <v>1</v>
      </c>
      <c r="B4" s="98" t="s">
        <v>96</v>
      </c>
      <c r="C4" s="185">
        <f aca="true" t="shared" si="0" ref="C4:C16">SUM(D4:F4)</f>
        <v>5260650</v>
      </c>
      <c r="D4" s="185">
        <v>0</v>
      </c>
      <c r="E4" s="185">
        <f>'KS 450 Chirurgie'!D17+'KS 451 Orthopädie'!D17+'KS 100 U&amp;R'!D20+'KS 240 Radiologie'!D13</f>
        <v>4016650</v>
      </c>
      <c r="F4" s="185">
        <f>'Administrative Kostenstellen'!C8</f>
        <v>1244000</v>
      </c>
    </row>
    <row r="5" spans="1:6" ht="12.75">
      <c r="A5" s="139">
        <v>3</v>
      </c>
      <c r="B5" s="98" t="s">
        <v>60</v>
      </c>
      <c r="C5" s="185">
        <f t="shared" si="0"/>
        <v>789097.5</v>
      </c>
      <c r="D5" s="185">
        <v>0</v>
      </c>
      <c r="E5" s="185">
        <f>'KS 450 Chirurgie'!D18+'KS 451 Orthopädie'!D18+'KS 100 U&amp;R'!D21+'KS 240 Radiologie'!D14</f>
        <v>602497.5</v>
      </c>
      <c r="F5" s="185">
        <f>'Administrative Kostenstellen'!C9</f>
        <v>186600</v>
      </c>
    </row>
    <row r="6" spans="1:6" ht="12.75">
      <c r="A6" s="139">
        <v>4</v>
      </c>
      <c r="B6" s="98" t="s">
        <v>16</v>
      </c>
      <c r="C6" s="185">
        <f t="shared" si="0"/>
        <v>545560</v>
      </c>
      <c r="D6" s="185">
        <f>'Absatzplanung (gesamt)'!B24</f>
        <v>545560</v>
      </c>
      <c r="E6" s="168">
        <v>0</v>
      </c>
      <c r="F6" s="185">
        <v>0</v>
      </c>
    </row>
    <row r="7" spans="1:6" ht="12.75">
      <c r="A7" s="139">
        <v>5</v>
      </c>
      <c r="B7" s="98" t="s">
        <v>97</v>
      </c>
      <c r="C7" s="185">
        <f t="shared" si="0"/>
        <v>206300</v>
      </c>
      <c r="D7" s="185">
        <v>0</v>
      </c>
      <c r="E7" s="185">
        <f>'KS 450 Chirurgie'!D19+'KS 451 Orthopädie'!D19+'KS 100 U&amp;R'!D22+'KS 240 Radiologie'!D15</f>
        <v>116600</v>
      </c>
      <c r="F7" s="185">
        <f>'Administrative Kostenstellen'!C10</f>
        <v>89700</v>
      </c>
    </row>
    <row r="8" spans="1:6" ht="12.75">
      <c r="A8" s="139">
        <v>6</v>
      </c>
      <c r="B8" s="98" t="s">
        <v>62</v>
      </c>
      <c r="C8" s="185">
        <f t="shared" si="0"/>
        <v>62860</v>
      </c>
      <c r="D8" s="185">
        <v>0</v>
      </c>
      <c r="E8" s="185">
        <f>'KS 450 Chirurgie'!D20+'KS 451 Orthopädie'!D20+'KS 100 U&amp;R'!D23+'KS 240 Radiologie'!D16</f>
        <v>38000</v>
      </c>
      <c r="F8" s="185">
        <f>'Administrative Kostenstellen'!C11</f>
        <v>24860</v>
      </c>
    </row>
    <row r="9" spans="1:6" ht="12.75">
      <c r="A9" s="139">
        <v>7</v>
      </c>
      <c r="B9" s="98" t="s">
        <v>63</v>
      </c>
      <c r="C9" s="185">
        <f t="shared" si="0"/>
        <v>20320</v>
      </c>
      <c r="D9" s="185">
        <v>0</v>
      </c>
      <c r="E9" s="185">
        <v>0</v>
      </c>
      <c r="F9" s="185">
        <f>'Administrative Kostenstellen'!C12</f>
        <v>20320</v>
      </c>
    </row>
    <row r="10" spans="1:6" ht="12.75">
      <c r="A10" s="139">
        <v>8</v>
      </c>
      <c r="B10" s="98" t="s">
        <v>98</v>
      </c>
      <c r="C10" s="185">
        <f t="shared" si="0"/>
        <v>23350</v>
      </c>
      <c r="D10" s="185">
        <v>0</v>
      </c>
      <c r="E10" s="185">
        <v>0</v>
      </c>
      <c r="F10" s="185">
        <f>'Administrative Kostenstellen'!C13</f>
        <v>23350</v>
      </c>
    </row>
    <row r="11" spans="1:6" ht="12.75">
      <c r="A11" s="139">
        <v>9</v>
      </c>
      <c r="B11" s="98" t="s">
        <v>99</v>
      </c>
      <c r="C11" s="185">
        <f t="shared" si="0"/>
        <v>36000</v>
      </c>
      <c r="D11" s="185">
        <v>0</v>
      </c>
      <c r="E11" s="185">
        <v>0</v>
      </c>
      <c r="F11" s="185">
        <f>'Administrative Kostenstellen'!C14</f>
        <v>36000</v>
      </c>
    </row>
    <row r="12" spans="1:6" ht="12.75">
      <c r="A12" s="139">
        <v>10</v>
      </c>
      <c r="B12" s="98" t="s">
        <v>66</v>
      </c>
      <c r="C12" s="185">
        <f t="shared" si="0"/>
        <v>38000</v>
      </c>
      <c r="D12" s="185">
        <v>0</v>
      </c>
      <c r="E12" s="185">
        <v>0</v>
      </c>
      <c r="F12" s="185">
        <f>'Administrative Kostenstellen'!C15</f>
        <v>38000</v>
      </c>
    </row>
    <row r="13" spans="1:6" ht="12.75">
      <c r="A13" s="139">
        <v>13</v>
      </c>
      <c r="B13" s="98" t="s">
        <v>83</v>
      </c>
      <c r="C13" s="185">
        <f t="shared" si="0"/>
        <v>149200</v>
      </c>
      <c r="D13" s="185">
        <v>0</v>
      </c>
      <c r="E13" s="185">
        <f>'KS 450 Chirurgie'!D21+'KS 451 Orthopädie'!D21+'KS 100 U&amp;R'!D24+'KS 240 Radiologie'!D17</f>
        <v>99600</v>
      </c>
      <c r="F13" s="185">
        <f>'Administrative Kostenstellen'!C16</f>
        <v>49600</v>
      </c>
    </row>
    <row r="14" spans="1:6" ht="12.75">
      <c r="A14" s="139">
        <v>14</v>
      </c>
      <c r="B14" s="98" t="s">
        <v>68</v>
      </c>
      <c r="C14" s="185">
        <f t="shared" si="0"/>
        <v>240050</v>
      </c>
      <c r="D14" s="185">
        <v>0</v>
      </c>
      <c r="E14" s="185">
        <f>'KS 450 Chirurgie'!D22+'KS 451 Orthopädie'!D22+'KS 100 U&amp;R'!D25+'KS 240 Radiologie'!D18</f>
        <v>92100</v>
      </c>
      <c r="F14" s="185">
        <f>'Administrative Kostenstellen'!C17</f>
        <v>147950</v>
      </c>
    </row>
    <row r="15" spans="1:6" ht="12.75">
      <c r="A15" s="139">
        <v>20</v>
      </c>
      <c r="B15" s="98" t="s">
        <v>71</v>
      </c>
      <c r="C15" s="185">
        <f t="shared" si="0"/>
        <v>1960000</v>
      </c>
      <c r="D15" s="185">
        <v>0</v>
      </c>
      <c r="E15" s="185">
        <f>'KS 450 Chirurgie'!F27+'KS 451 Orthopädie'!F27+'KS 100 U&amp;R'!F29+'KS 240 Radiologie'!F23</f>
        <v>807000</v>
      </c>
      <c r="F15" s="185">
        <f>'Administrative Kostenstellen'!C22</f>
        <v>1153000</v>
      </c>
    </row>
    <row r="16" spans="1:6" ht="13.5" thickBot="1">
      <c r="A16" s="139">
        <v>21</v>
      </c>
      <c r="B16" s="98" t="s">
        <v>24</v>
      </c>
      <c r="C16" s="185">
        <f t="shared" si="0"/>
        <v>515000</v>
      </c>
      <c r="D16" s="185">
        <v>0</v>
      </c>
      <c r="E16" s="185">
        <f>'KS 450 Chirurgie'!F28+'KS 451 Orthopädie'!F28+'KS 100 U&amp;R'!F30+'KS 240 Radiologie'!F24</f>
        <v>245000</v>
      </c>
      <c r="F16" s="185">
        <f>'Administrative Kostenstellen'!C23</f>
        <v>270000</v>
      </c>
    </row>
    <row r="17" spans="1:7" ht="13.5" thickBot="1">
      <c r="A17" s="189"/>
      <c r="B17" s="94" t="s">
        <v>100</v>
      </c>
      <c r="C17" s="186">
        <f>SUM(C4:C16)</f>
        <v>9846387.5</v>
      </c>
      <c r="D17" s="186">
        <f>SUM(D4:D16)</f>
        <v>545560</v>
      </c>
      <c r="E17" s="186">
        <f>SUM(E4:E16)</f>
        <v>6017447.5</v>
      </c>
      <c r="F17" s="188">
        <f>SUM(F4:F16)</f>
        <v>3283380</v>
      </c>
      <c r="G17" s="99"/>
    </row>
    <row r="18" spans="1:6" ht="12.75">
      <c r="A18" s="139"/>
      <c r="B18" s="98"/>
      <c r="C18" s="185"/>
      <c r="D18" s="185"/>
      <c r="F18" s="185"/>
    </row>
    <row r="19" spans="1:6" ht="12.75">
      <c r="A19" s="139">
        <v>50</v>
      </c>
      <c r="B19" s="98" t="s">
        <v>72</v>
      </c>
      <c r="C19" s="185">
        <f>SUM(D19:F19)</f>
        <v>1574999.9999999988</v>
      </c>
      <c r="D19" s="185">
        <v>0</v>
      </c>
      <c r="E19" s="185">
        <f>'KS 450 Chirurgie'!F29+'KS 451 Orthopädie'!F29+'KS 100 U&amp;R'!F31+'KS 240 Radiologie'!F25</f>
        <v>1215000</v>
      </c>
      <c r="F19" s="185">
        <f>'Administrative Kostenstellen'!C24</f>
        <v>359999.99999999977</v>
      </c>
    </row>
    <row r="20" spans="1:6" ht="12.75">
      <c r="A20" s="139">
        <v>51</v>
      </c>
      <c r="B20" s="58" t="s">
        <v>69</v>
      </c>
      <c r="C20" s="185">
        <f>SUM(D20:F20)</f>
        <v>142500</v>
      </c>
      <c r="D20" s="185">
        <v>0</v>
      </c>
      <c r="E20" s="185">
        <f>'KS 450 Chirurgie'!D23+'KS 451 Orthopädie'!D23+'KS 240 Radiologie'!D19</f>
        <v>105000</v>
      </c>
      <c r="F20" s="185">
        <f>'Administrative Kostenstellen'!C18</f>
        <v>37500</v>
      </c>
    </row>
    <row r="21" spans="1:6" ht="13.5" thickBot="1">
      <c r="A21" s="139">
        <v>52</v>
      </c>
      <c r="B21" s="58" t="s">
        <v>73</v>
      </c>
      <c r="C21" s="185">
        <f>SUM(D21:F21)</f>
        <v>185249.99999999994</v>
      </c>
      <c r="D21" s="185">
        <v>0</v>
      </c>
      <c r="E21" s="185">
        <f>'KS 450 Chirurgie'!F30+'KS 451 Orthopädie'!F30+'KS 240 Radiologie'!F26</f>
        <v>136500</v>
      </c>
      <c r="F21" s="185">
        <f>'Administrative Kostenstellen'!C25</f>
        <v>48749.999999999985</v>
      </c>
    </row>
    <row r="22" spans="1:7" ht="13.5" thickBot="1">
      <c r="A22" s="189"/>
      <c r="B22" s="94" t="s">
        <v>74</v>
      </c>
      <c r="C22" s="188">
        <f>SUM(C17:C21)</f>
        <v>11749137.499999998</v>
      </c>
      <c r="D22" s="188">
        <f>SUM(D17:D21)</f>
        <v>545560</v>
      </c>
      <c r="E22" s="188">
        <f>SUM(E17:E21)</f>
        <v>7473947.5</v>
      </c>
      <c r="F22" s="188">
        <f>SUM(F17:F21)</f>
        <v>3729630</v>
      </c>
      <c r="G22" s="99"/>
    </row>
    <row r="23" spans="3:6" ht="12.75">
      <c r="C23" s="171"/>
      <c r="D23" s="171"/>
      <c r="E23" s="171"/>
      <c r="F23" s="171"/>
    </row>
    <row r="24" spans="3:6" ht="12.75">
      <c r="C24" s="171"/>
      <c r="D24" s="171"/>
      <c r="E24" s="171"/>
      <c r="F24" s="171"/>
    </row>
    <row r="25" spans="3:4" ht="12.75">
      <c r="C25" s="171"/>
      <c r="D25" s="171"/>
    </row>
    <row r="26" spans="3:4" ht="12.75">
      <c r="C26" s="171"/>
      <c r="D26" s="171"/>
    </row>
    <row r="27" spans="3:4" ht="12.75">
      <c r="C27" s="171"/>
      <c r="D27" s="171"/>
    </row>
    <row r="28" spans="3:4" ht="12.75">
      <c r="C28" s="171"/>
      <c r="D28" s="171"/>
    </row>
    <row r="29" spans="3:4" ht="12.75">
      <c r="C29" s="171"/>
      <c r="D29" s="171"/>
    </row>
  </sheetData>
  <sheetProtection sheet="1" objects="1" scenarios="1"/>
  <printOptions horizontalCentered="1" verticalCentered="1"/>
  <pageMargins left="0.33" right="0" top="0.984251968503937" bottom="5.95" header="0.5118110236220472" footer="0.5118110236220472"/>
  <pageSetup fitToHeight="1" fitToWidth="1" horizontalDpi="150" verticalDpi="150" orientation="portrait" paperSize="9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99FF"/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7109375" style="217" customWidth="1"/>
    <col min="2" max="10" width="13.8515625" style="1" customWidth="1"/>
    <col min="11" max="11" width="7.8515625" style="1" customWidth="1"/>
    <col min="12" max="16384" width="11.421875" style="1" customWidth="1"/>
  </cols>
  <sheetData>
    <row r="1" ht="15.75">
      <c r="A1" s="231" t="s">
        <v>101</v>
      </c>
    </row>
    <row r="2" ht="12.75">
      <c r="A2" s="217" t="s">
        <v>197</v>
      </c>
    </row>
    <row r="3" spans="1:11" ht="12.75">
      <c r="A3" s="212" t="s">
        <v>102</v>
      </c>
      <c r="B3" s="31" t="s">
        <v>3</v>
      </c>
      <c r="C3" s="32" t="s">
        <v>4</v>
      </c>
      <c r="D3" s="32"/>
      <c r="E3" s="32"/>
      <c r="F3" s="32"/>
      <c r="G3" s="32" t="s">
        <v>5</v>
      </c>
      <c r="H3" s="32"/>
      <c r="I3" s="32"/>
      <c r="J3" s="32"/>
      <c r="K3" s="314"/>
    </row>
    <row r="4" spans="1:11" s="97" customFormat="1" ht="51">
      <c r="A4" s="225"/>
      <c r="B4" s="162" t="s">
        <v>6</v>
      </c>
      <c r="C4" s="162" t="s">
        <v>6</v>
      </c>
      <c r="D4" s="162" t="str">
        <f>'Produkt- &amp; Fertigungstabelle'!$B$4</f>
        <v>Eingriffe Bauch/ Hernien</v>
      </c>
      <c r="E4" s="162" t="str">
        <f>'Produkt- &amp; Fertigungstabelle'!$B$5</f>
        <v>Eingriffe Harn-/Geschlechts-organe</v>
      </c>
      <c r="F4" s="162" t="str">
        <f>'Produkt- &amp; Fertigungstabelle'!$B$6</f>
        <v>Eingriffe Haut/Sehnen/Nerven/ Gefässe</v>
      </c>
      <c r="G4" s="162" t="s">
        <v>7</v>
      </c>
      <c r="H4" s="162" t="str">
        <f>'Produkt- &amp; Fertigungstabelle'!$B$7</f>
        <v>Eingriffe Knochen/ Gelenke</v>
      </c>
      <c r="I4" s="162" t="str">
        <f>'Produkt- &amp; Fertigungstabelle'!$B$8</f>
        <v>Eingriffe Brust/Wirbel-säule</v>
      </c>
      <c r="J4" s="162" t="str">
        <f>'Produkt- &amp; Fertigungstabelle'!$B$9</f>
        <v>Eingriffe Kopf/Hals</v>
      </c>
      <c r="K4" s="315" t="s">
        <v>219</v>
      </c>
    </row>
    <row r="5" spans="1:11" s="168" customFormat="1" ht="12.75">
      <c r="A5" s="210" t="s">
        <v>11</v>
      </c>
      <c r="B5" s="198"/>
      <c r="C5" s="198"/>
      <c r="D5" s="198">
        <f>'Absatzplanung (gesamt)'!D9</f>
        <v>500</v>
      </c>
      <c r="E5" s="198">
        <f>'Absatzplanung (gesamt)'!E9</f>
        <v>900</v>
      </c>
      <c r="F5" s="198">
        <f>'Absatzplanung (gesamt)'!F9</f>
        <v>800</v>
      </c>
      <c r="G5" s="198"/>
      <c r="H5" s="198">
        <f>'Absatzplanung (gesamt)'!H9</f>
        <v>360</v>
      </c>
      <c r="I5" s="198">
        <f>'Absatzplanung (gesamt)'!I9</f>
        <v>400</v>
      </c>
      <c r="J5" s="198">
        <f>'Absatzplanung (gesamt)'!J9</f>
        <v>500</v>
      </c>
      <c r="K5" s="316"/>
    </row>
    <row r="6" spans="1:11" s="168" customFormat="1" ht="6" customHeight="1">
      <c r="A6" s="217"/>
      <c r="D6" s="171"/>
      <c r="E6" s="171"/>
      <c r="F6" s="171"/>
      <c r="G6" s="171"/>
      <c r="H6" s="171"/>
      <c r="I6" s="171"/>
      <c r="J6" s="171"/>
      <c r="K6" s="317"/>
    </row>
    <row r="7" spans="1:11" s="168" customFormat="1" ht="12.75">
      <c r="A7" s="217" t="s">
        <v>16</v>
      </c>
      <c r="B7" s="171">
        <f>C7+G7</f>
        <v>545560</v>
      </c>
      <c r="C7" s="171">
        <f>SUM(D7:F7)</f>
        <v>359200</v>
      </c>
      <c r="D7" s="171">
        <f>'Absatzplanung (gesamt)'!D24</f>
        <v>172000</v>
      </c>
      <c r="E7" s="171">
        <f>'Absatzplanung (gesamt)'!E24</f>
        <v>115200</v>
      </c>
      <c r="F7" s="171">
        <f>'Absatzplanung (gesamt)'!F24</f>
        <v>72000</v>
      </c>
      <c r="G7" s="171">
        <f>SUM(H7:J7)</f>
        <v>186360</v>
      </c>
      <c r="H7" s="171">
        <f>'Absatzplanung (gesamt)'!H24</f>
        <v>45360</v>
      </c>
      <c r="I7" s="171">
        <f>'Absatzplanung (gesamt)'!I24</f>
        <v>96000</v>
      </c>
      <c r="J7" s="171">
        <f>'Absatzplanung (gesamt)'!J24</f>
        <v>45000</v>
      </c>
      <c r="K7" s="317"/>
    </row>
    <row r="8" spans="1:11" s="168" customFormat="1" ht="12.75">
      <c r="A8" s="232" t="s">
        <v>103</v>
      </c>
      <c r="B8" s="229">
        <f aca="true" t="shared" si="0" ref="B8:J8">B7*$K$8</f>
        <v>361719.9999999999</v>
      </c>
      <c r="C8" s="229">
        <f t="shared" si="0"/>
        <v>238158.63333088928</v>
      </c>
      <c r="D8" s="229">
        <f t="shared" si="0"/>
        <v>114040.3255370628</v>
      </c>
      <c r="E8" s="229">
        <f t="shared" si="0"/>
        <v>76380.49710389323</v>
      </c>
      <c r="F8" s="229">
        <f t="shared" si="0"/>
        <v>47737.81068993326</v>
      </c>
      <c r="G8" s="229">
        <f t="shared" si="0"/>
        <v>123561.3666691106</v>
      </c>
      <c r="H8" s="229">
        <f t="shared" si="0"/>
        <v>30074.82073465796</v>
      </c>
      <c r="I8" s="229">
        <f t="shared" si="0"/>
        <v>63650.41425324435</v>
      </c>
      <c r="J8" s="229">
        <f t="shared" si="0"/>
        <v>29836.13168120829</v>
      </c>
      <c r="K8" s="318">
        <f>'Administrative Kostenstellen'!$F$26/B7</f>
        <v>0.6630251484712956</v>
      </c>
    </row>
    <row r="9" spans="1:11" s="168" customFormat="1" ht="12.75">
      <c r="A9" s="217" t="s">
        <v>104</v>
      </c>
      <c r="B9" s="171">
        <f aca="true" t="shared" si="1" ref="B9:J9">SUM(B7:B8)</f>
        <v>907279.9999999999</v>
      </c>
      <c r="C9" s="171">
        <f t="shared" si="1"/>
        <v>597358.6333308893</v>
      </c>
      <c r="D9" s="171">
        <f t="shared" si="1"/>
        <v>286040.32553706283</v>
      </c>
      <c r="E9" s="171">
        <f t="shared" si="1"/>
        <v>191580.49710389323</v>
      </c>
      <c r="F9" s="171">
        <f t="shared" si="1"/>
        <v>119737.81068993326</v>
      </c>
      <c r="G9" s="171">
        <f t="shared" si="1"/>
        <v>309921.3666691106</v>
      </c>
      <c r="H9" s="171">
        <f t="shared" si="1"/>
        <v>75434.82073465796</v>
      </c>
      <c r="I9" s="171">
        <f t="shared" si="1"/>
        <v>159650.41425324435</v>
      </c>
      <c r="J9" s="171">
        <f t="shared" si="1"/>
        <v>74836.1316812083</v>
      </c>
      <c r="K9" s="317"/>
    </row>
    <row r="10" spans="1:11" s="168" customFormat="1" ht="6" customHeight="1">
      <c r="A10" s="217"/>
      <c r="B10" s="171"/>
      <c r="C10" s="171"/>
      <c r="D10" s="171"/>
      <c r="E10" s="171"/>
      <c r="F10" s="171"/>
      <c r="G10" s="171"/>
      <c r="H10" s="171"/>
      <c r="I10" s="171"/>
      <c r="J10" s="171"/>
      <c r="K10" s="317"/>
    </row>
    <row r="11" spans="1:11" s="168" customFormat="1" ht="12.75">
      <c r="A11" s="232" t="s">
        <v>105</v>
      </c>
      <c r="B11" s="229">
        <f>C11+G11</f>
        <v>7146197.5</v>
      </c>
      <c r="C11" s="229">
        <f>SUM(D11:F11)</f>
        <v>4573599.565577162</v>
      </c>
      <c r="D11" s="229">
        <f>'Absatzplanung (gesamt)'!D31+'Absatzplanung (gesamt)'!D28</f>
        <v>1064690.9910628614</v>
      </c>
      <c r="E11" s="229">
        <f>'Absatzplanung (gesamt)'!E31+'Absatzplanung (gesamt)'!E28</f>
        <v>1995115.9163923098</v>
      </c>
      <c r="F11" s="229">
        <f>'Absatzplanung (gesamt)'!F31+'Absatzplanung (gesamt)'!F28</f>
        <v>1513792.6581219905</v>
      </c>
      <c r="G11" s="229">
        <f>SUM(H11:J11)</f>
        <v>2572597.934422838</v>
      </c>
      <c r="H11" s="229">
        <f>'Absatzplanung (gesamt)'!H31+'Absatzplanung (gesamt)'!H28</f>
        <v>756405.9337780261</v>
      </c>
      <c r="I11" s="229">
        <f>'Absatzplanung (gesamt)'!I31+'Absatzplanung (gesamt)'!I28</f>
        <v>729787.6797440998</v>
      </c>
      <c r="J11" s="229">
        <f>'Absatzplanung (gesamt)'!J31+'Absatzplanung (gesamt)'!J28</f>
        <v>1086404.3209007122</v>
      </c>
      <c r="K11" s="318"/>
    </row>
    <row r="12" spans="1:11" s="168" customFormat="1" ht="12.75">
      <c r="A12" s="217" t="s">
        <v>106</v>
      </c>
      <c r="B12" s="171">
        <f aca="true" t="shared" si="2" ref="B12:J12">SUM(B9:B11)</f>
        <v>8053477.5</v>
      </c>
      <c r="C12" s="171">
        <f t="shared" si="2"/>
        <v>5170958.1989080515</v>
      </c>
      <c r="D12" s="171">
        <f t="shared" si="2"/>
        <v>1350731.3165999241</v>
      </c>
      <c r="E12" s="171">
        <f t="shared" si="2"/>
        <v>2186696.4134962033</v>
      </c>
      <c r="F12" s="171">
        <f t="shared" si="2"/>
        <v>1633530.4688119239</v>
      </c>
      <c r="G12" s="171">
        <f t="shared" si="2"/>
        <v>2882519.3010919485</v>
      </c>
      <c r="H12" s="171">
        <f t="shared" si="2"/>
        <v>831840.7545126841</v>
      </c>
      <c r="I12" s="171">
        <f t="shared" si="2"/>
        <v>889438.0939973441</v>
      </c>
      <c r="J12" s="171">
        <f t="shared" si="2"/>
        <v>1161240.4525819204</v>
      </c>
      <c r="K12" s="317"/>
    </row>
    <row r="13" spans="1:11" s="168" customFormat="1" ht="12.75">
      <c r="A13" s="217"/>
      <c r="B13" s="171"/>
      <c r="C13" s="171"/>
      <c r="D13" s="171"/>
      <c r="E13" s="171"/>
      <c r="F13" s="171"/>
      <c r="G13" s="171"/>
      <c r="H13" s="171"/>
      <c r="I13" s="171"/>
      <c r="J13" s="171"/>
      <c r="K13" s="317"/>
    </row>
    <row r="14" spans="1:11" s="168" customFormat="1" ht="12.75">
      <c r="A14" s="232" t="s">
        <v>107</v>
      </c>
      <c r="B14" s="229">
        <f aca="true" t="shared" si="3" ref="B14:J14">B12*$K$14</f>
        <v>1792910.000000017</v>
      </c>
      <c r="C14" s="229">
        <f t="shared" si="3"/>
        <v>1151187.5043301883</v>
      </c>
      <c r="D14" s="229">
        <f t="shared" si="3"/>
        <v>300707.3261016987</v>
      </c>
      <c r="E14" s="229">
        <f t="shared" si="3"/>
        <v>486814.53033444437</v>
      </c>
      <c r="F14" s="229">
        <f t="shared" si="3"/>
        <v>363665.64789404505</v>
      </c>
      <c r="G14" s="229">
        <f t="shared" si="3"/>
        <v>641722.495669829</v>
      </c>
      <c r="H14" s="229">
        <f t="shared" si="3"/>
        <v>185189.0201684118</v>
      </c>
      <c r="I14" s="229">
        <f t="shared" si="3"/>
        <v>198011.66056635702</v>
      </c>
      <c r="J14" s="229">
        <f t="shared" si="3"/>
        <v>258521.81493506013</v>
      </c>
      <c r="K14" s="318">
        <f>'Administrative Kostenstellen'!E26/B12</f>
        <v>0.22262556765074465</v>
      </c>
    </row>
    <row r="15" spans="1:11" s="168" customFormat="1" ht="12.75">
      <c r="A15" s="217" t="s">
        <v>108</v>
      </c>
      <c r="B15" s="171">
        <f aca="true" t="shared" si="4" ref="B15:J15">SUM(B12:B14)</f>
        <v>9846387.500000017</v>
      </c>
      <c r="C15" s="171">
        <f t="shared" si="4"/>
        <v>6322145.7032382395</v>
      </c>
      <c r="D15" s="171">
        <f t="shared" si="4"/>
        <v>1651438.6427016228</v>
      </c>
      <c r="E15" s="171">
        <f t="shared" si="4"/>
        <v>2673510.9438306475</v>
      </c>
      <c r="F15" s="171">
        <f t="shared" si="4"/>
        <v>1997196.116705969</v>
      </c>
      <c r="G15" s="171">
        <f t="shared" si="4"/>
        <v>3524241.7967617773</v>
      </c>
      <c r="H15" s="171">
        <f t="shared" si="4"/>
        <v>1017029.7746810958</v>
      </c>
      <c r="I15" s="171">
        <f t="shared" si="4"/>
        <v>1087449.754563701</v>
      </c>
      <c r="J15" s="171">
        <f t="shared" si="4"/>
        <v>1419762.2675169806</v>
      </c>
      <c r="K15" s="317"/>
    </row>
    <row r="16" spans="1:11" s="168" customFormat="1" ht="12.75">
      <c r="A16" s="217"/>
      <c r="B16" s="171"/>
      <c r="C16" s="171"/>
      <c r="D16" s="171"/>
      <c r="E16" s="171"/>
      <c r="F16" s="171"/>
      <c r="G16" s="171"/>
      <c r="H16" s="171"/>
      <c r="I16" s="171"/>
      <c r="J16" s="171"/>
      <c r="K16" s="317"/>
    </row>
    <row r="17" spans="1:11" s="168" customFormat="1" ht="12.75">
      <c r="A17" s="232" t="s">
        <v>109</v>
      </c>
      <c r="B17" s="229">
        <f>'Absatzplanung (gesamt)'!B16</f>
        <v>9842400</v>
      </c>
      <c r="C17" s="229">
        <f>'Absatzplanung (gesamt)'!C16</f>
        <v>5688000</v>
      </c>
      <c r="D17" s="229">
        <f>D5*D22</f>
        <v>1550000</v>
      </c>
      <c r="E17" s="229">
        <f>E5*E22</f>
        <v>2466000</v>
      </c>
      <c r="F17" s="229">
        <f>F5*F22</f>
        <v>1672000</v>
      </c>
      <c r="G17" s="229">
        <f>'Absatzplanung (gesamt)'!G16</f>
        <v>4154400</v>
      </c>
      <c r="H17" s="229">
        <f>H5*H22</f>
        <v>1274400</v>
      </c>
      <c r="I17" s="229">
        <f>I5*I22</f>
        <v>1240000</v>
      </c>
      <c r="J17" s="229">
        <f>J5*J22</f>
        <v>1640000</v>
      </c>
      <c r="K17" s="318"/>
    </row>
    <row r="18" spans="1:11" s="168" customFormat="1" ht="12.75">
      <c r="A18" s="217" t="s">
        <v>110</v>
      </c>
      <c r="B18" s="171">
        <f>B17-B15</f>
        <v>-3987.500000016764</v>
      </c>
      <c r="C18" s="171">
        <f aca="true" t="shared" si="5" ref="C18:J18">C17-C15</f>
        <v>-634145.7032382395</v>
      </c>
      <c r="D18" s="171">
        <f t="shared" si="5"/>
        <v>-101438.6427016228</v>
      </c>
      <c r="E18" s="171">
        <f t="shared" si="5"/>
        <v>-207510.9438306475</v>
      </c>
      <c r="F18" s="171">
        <f t="shared" si="5"/>
        <v>-325196.116705969</v>
      </c>
      <c r="G18" s="171">
        <f t="shared" si="5"/>
        <v>630158.2032382227</v>
      </c>
      <c r="H18" s="171">
        <f t="shared" si="5"/>
        <v>257370.22531890415</v>
      </c>
      <c r="I18" s="171">
        <f t="shared" si="5"/>
        <v>152550.2454362989</v>
      </c>
      <c r="J18" s="171">
        <f t="shared" si="5"/>
        <v>220237.73248301935</v>
      </c>
      <c r="K18" s="317"/>
    </row>
    <row r="19" spans="1:11" s="168" customFormat="1" ht="6" customHeight="1">
      <c r="A19" s="217"/>
      <c r="B19" s="171"/>
      <c r="C19" s="171"/>
      <c r="D19" s="171"/>
      <c r="E19" s="171"/>
      <c r="F19" s="171"/>
      <c r="G19" s="171"/>
      <c r="H19" s="171"/>
      <c r="I19" s="171"/>
      <c r="J19" s="171"/>
      <c r="K19" s="317"/>
    </row>
    <row r="20" spans="1:11" s="168" customFormat="1" ht="12.75">
      <c r="A20" s="217" t="s">
        <v>215</v>
      </c>
      <c r="D20" s="171">
        <f>D15/D5</f>
        <v>3302.8772854032454</v>
      </c>
      <c r="E20" s="171">
        <f aca="true" t="shared" si="6" ref="E20:J20">E15/E5</f>
        <v>2970.567715367386</v>
      </c>
      <c r="F20" s="171">
        <f t="shared" si="6"/>
        <v>2496.495145882461</v>
      </c>
      <c r="G20" s="171"/>
      <c r="H20" s="171">
        <f t="shared" si="6"/>
        <v>2825.0827074474882</v>
      </c>
      <c r="I20" s="171">
        <f t="shared" si="6"/>
        <v>2718.6243864092526</v>
      </c>
      <c r="J20" s="171">
        <f t="shared" si="6"/>
        <v>2839.5245350339615</v>
      </c>
      <c r="K20" s="317"/>
    </row>
    <row r="21" spans="1:11" s="168" customFormat="1" ht="6" customHeight="1">
      <c r="A21" s="217"/>
      <c r="K21" s="317"/>
    </row>
    <row r="22" spans="1:11" s="168" customFormat="1" ht="12.75">
      <c r="A22" s="217" t="s">
        <v>216</v>
      </c>
      <c r="C22" s="171"/>
      <c r="D22" s="171">
        <f>'Absatzplanung (gesamt)'!D14</f>
        <v>3100</v>
      </c>
      <c r="E22" s="171">
        <f>'Absatzplanung (gesamt)'!E14</f>
        <v>2740</v>
      </c>
      <c r="F22" s="171">
        <f>'Absatzplanung (gesamt)'!F14</f>
        <v>2090</v>
      </c>
      <c r="G22" s="171"/>
      <c r="H22" s="171">
        <f>'Absatzplanung (gesamt)'!H14</f>
        <v>3540</v>
      </c>
      <c r="I22" s="171">
        <f>'Absatzplanung (gesamt)'!I14</f>
        <v>3100</v>
      </c>
      <c r="J22" s="171">
        <f>'Absatzplanung (gesamt)'!J14</f>
        <v>3280</v>
      </c>
      <c r="K22" s="317"/>
    </row>
    <row r="23" spans="1:11" s="168" customFormat="1" ht="6" customHeight="1">
      <c r="A23" s="217"/>
      <c r="K23" s="317"/>
    </row>
    <row r="24" spans="1:11" s="168" customFormat="1" ht="12.75">
      <c r="A24" s="217" t="s">
        <v>217</v>
      </c>
      <c r="C24" s="171"/>
      <c r="D24" s="171">
        <f>D22-D20</f>
        <v>-202.87728540324542</v>
      </c>
      <c r="E24" s="171">
        <f>E22-E20</f>
        <v>-230.56771536738597</v>
      </c>
      <c r="F24" s="171">
        <f>F22-F20</f>
        <v>-406.4951458824612</v>
      </c>
      <c r="G24" s="230"/>
      <c r="H24" s="171">
        <f>H22-H20</f>
        <v>714.9172925525118</v>
      </c>
      <c r="I24" s="171">
        <f>I22-I20</f>
        <v>381.37561359074743</v>
      </c>
      <c r="J24" s="171">
        <f>J22-J20</f>
        <v>440.47546496603854</v>
      </c>
      <c r="K24" s="317"/>
    </row>
  </sheetData>
  <sheetProtection sheet="1"/>
  <printOptions horizontalCentered="1" verticalCentered="1"/>
  <pageMargins left="0.2" right="0.22" top="0.984251968503937" bottom="3.65" header="0.4921259845" footer="0.4921259845"/>
  <pageSetup fitToHeight="1" fitToWidth="1" horizontalDpi="150" verticalDpi="150" orientation="landscape" paperSize="9" scale="8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DBR</dc:title>
  <dc:subject/>
  <dc:creator>Dr. Luc Schultheiss / Hans Rivar</dc:creator>
  <cp:keywords/>
  <dc:description>Controllertage St.Gallen 1998 Spitalcontrolling</dc:description>
  <cp:lastModifiedBy>Hans Rivar</cp:lastModifiedBy>
  <cp:lastPrinted>2010-08-23T18:46:46Z</cp:lastPrinted>
  <dcterms:created xsi:type="dcterms:W3CDTF">2010-08-14T14:17:06Z</dcterms:created>
  <dcterms:modified xsi:type="dcterms:W3CDTF">2020-04-29T10:00:21Z</dcterms:modified>
  <cp:category/>
  <cp:version/>
  <cp:contentType/>
  <cp:contentStatus/>
</cp:coreProperties>
</file>